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omments1.xml" ContentType="application/vnd.openxmlformats-officedocument.spreadsheetml.comments+xml"/>
  <Override PartName="/xl/drawings/drawing2.xml" ContentType="application/vnd.openxmlformats-officedocument.drawing+xml"/>
  <Override PartName="/xl/slicers/slicer2.xml" ContentType="application/vnd.ms-excel.slicer+xml"/>
  <Override PartName="/xl/drawings/drawing3.xml" ContentType="application/vnd.openxmlformats-officedocument.drawing+xml"/>
  <Override PartName="/xl/slicers/slicer3.xml" ContentType="application/vnd.ms-excel.slicer+xml"/>
  <Override PartName="/xl/comments2.xml" ContentType="application/vnd.openxmlformats-officedocument.spreadsheetml.comments+xml"/>
  <Override PartName="/xl/drawings/drawing4.xml" ContentType="application/vnd.openxmlformats-officedocument.drawing+xml"/>
  <Override PartName="/xl/slicers/slicer4.xml" ContentType="application/vnd.ms-excel.slicer+xml"/>
  <Override PartName="/xl/comments3.xml" ContentType="application/vnd.openxmlformats-officedocument.spreadsheetml.comments+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O:\Leitung\03_Unité (IP,IA)\Institutionsprogramm SAM\Institutionsprogramm 2021-2024\01_IP SAM global 21-24\Indikatoren 21-24\Daten aus Onlineerfassung\"/>
    </mc:Choice>
  </mc:AlternateContent>
  <xr:revisionPtr revIDLastSave="0" documentId="13_ncr:1_{5C15A996-A964-4559-98A7-8B7ADD2AD271}" xr6:coauthVersionLast="36" xr6:coauthVersionMax="36" xr10:uidLastSave="{00000000-0000-0000-0000-000000000000}"/>
  <bookViews>
    <workbookView xWindow="0" yWindow="0" windowWidth="28800" windowHeight="11505" xr2:uid="{AB9A56BE-1174-441C-9990-2DDEFE895BDA}"/>
  </bookViews>
  <sheets>
    <sheet name="Education" sheetId="12" r:id="rId1"/>
    <sheet name="Medical" sheetId="16" r:id="rId2"/>
    <sheet name="Lifelihood" sheetId="17" r:id="rId3"/>
    <sheet name="Theology" sheetId="18" r:id="rId4"/>
    <sheet name="Stories" sheetId="19" r:id="rId5"/>
    <sheet name="Main" sheetId="15" r:id="rId6"/>
    <sheet name="I_10c" sheetId="3" r:id="rId7"/>
    <sheet name="I_40" sheetId="4" r:id="rId8"/>
    <sheet name="I_41" sheetId="5" r:id="rId9"/>
    <sheet name="I_50" sheetId="6" r:id="rId10"/>
    <sheet name="I_51" sheetId="7" r:id="rId11"/>
    <sheet name="I_52" sheetId="8" r:id="rId12"/>
    <sheet name="I_53" sheetId="9" r:id="rId13"/>
    <sheet name="I_54" sheetId="10" r:id="rId14"/>
    <sheet name="I_70" sheetId="11" r:id="rId15"/>
    <sheet name="Link" sheetId="1" r:id="rId16"/>
    <sheet name="Pivot" sheetId="13" r:id="rId17"/>
  </sheets>
  <definedNames>
    <definedName name="Datenschnitt_Land">#N/A</definedName>
    <definedName name="Datenschnitt_Name">#N/A</definedName>
    <definedName name="Datenschnitt_Projekt">#N/A</definedName>
    <definedName name="Datenschnitt_Teilprojekt">#N/A</definedName>
    <definedName name="ExterneDaten_1" localSheetId="6" hidden="1">I_10c!$F$1:$N$5</definedName>
    <definedName name="ExterneDaten_1" localSheetId="5" hidden="1">Main!$B$1:$BE$24</definedName>
    <definedName name="ExterneDaten_2" localSheetId="7" hidden="1">I_40!$F$1:$V$6</definedName>
    <definedName name="ExterneDaten_3" localSheetId="8" hidden="1">I_41!$F$1:$U$6</definedName>
    <definedName name="ExterneDaten_4" localSheetId="9" hidden="1">I_50!$F$1:$N$6</definedName>
    <definedName name="ExterneDaten_5" localSheetId="10" hidden="1">I_51!$F$1:$Q$5</definedName>
    <definedName name="ExterneDaten_6" localSheetId="11" hidden="1">I_52!$F$1:$Q$4</definedName>
    <definedName name="ExterneDaten_7" localSheetId="12" hidden="1">I_53!$F$1:$O$5</definedName>
    <definedName name="ExterneDaten_8" localSheetId="13" hidden="1">I_54!$F$1:$N$5</definedName>
    <definedName name="ExterneDaten_9" localSheetId="14" hidden="1">I_70!$F$1:$Q$5</definedName>
  </definedNames>
  <calcPr calcId="191029"/>
  <pivotCaches>
    <pivotCache cacheId="159" r:id="rId18"/>
  </pivotCaches>
  <extLst>
    <ext xmlns:x14="http://schemas.microsoft.com/office/spreadsheetml/2009/9/main" uri="{BBE1A952-AA13-448e-AADC-164F8A28A991}">
      <x14:slicerCaches>
        <x14:slicerCache r:id="rId19"/>
        <x14:slicerCache r:id="rId20"/>
        <x14:slicerCache r:id="rId21"/>
        <x14:slicerCache r:id="rId22"/>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7" l="1"/>
  <c r="A3" i="7"/>
  <c r="A4" i="7"/>
  <c r="A5" i="7"/>
  <c r="B2" i="7"/>
  <c r="B3" i="7"/>
  <c r="B4" i="7"/>
  <c r="B5" i="7"/>
  <c r="C2" i="7"/>
  <c r="C3" i="7"/>
  <c r="C4" i="7"/>
  <c r="C5" i="7"/>
  <c r="D2" i="7"/>
  <c r="D3" i="7"/>
  <c r="D4" i="7"/>
  <c r="D5" i="7"/>
  <c r="E2" i="7"/>
  <c r="E3" i="7"/>
  <c r="E4" i="7"/>
  <c r="E5" i="7"/>
  <c r="A2" i="6"/>
  <c r="A3" i="6"/>
  <c r="A4" i="6"/>
  <c r="A5" i="6"/>
  <c r="A6" i="6"/>
  <c r="B2" i="6"/>
  <c r="B3" i="6"/>
  <c r="B4" i="6"/>
  <c r="B5" i="6"/>
  <c r="B6" i="6"/>
  <c r="C2" i="6"/>
  <c r="C3" i="6"/>
  <c r="C4" i="6"/>
  <c r="C5" i="6"/>
  <c r="C6" i="6"/>
  <c r="D2" i="6"/>
  <c r="D3" i="6"/>
  <c r="D4" i="6"/>
  <c r="D5" i="6"/>
  <c r="D6" i="6"/>
  <c r="E2" i="6"/>
  <c r="E3" i="6"/>
  <c r="E4" i="6"/>
  <c r="E5" i="6"/>
  <c r="E6" i="6"/>
  <c r="A2" i="5"/>
  <c r="A3" i="5"/>
  <c r="A4" i="5"/>
  <c r="A5" i="5"/>
  <c r="A6" i="5"/>
  <c r="B2" i="5"/>
  <c r="B3" i="5"/>
  <c r="B4" i="5"/>
  <c r="B5" i="5"/>
  <c r="B6" i="5"/>
  <c r="C2" i="5"/>
  <c r="C3" i="5"/>
  <c r="C4" i="5"/>
  <c r="C5" i="5"/>
  <c r="C6" i="5"/>
  <c r="D2" i="5"/>
  <c r="D3" i="5"/>
  <c r="D4" i="5"/>
  <c r="D5" i="5"/>
  <c r="D6" i="5"/>
  <c r="E2" i="5"/>
  <c r="E3" i="5"/>
  <c r="E4" i="5"/>
  <c r="E5" i="5"/>
  <c r="E6" i="5"/>
  <c r="H2" i="5"/>
  <c r="H3" i="5"/>
  <c r="H4" i="5"/>
  <c r="H5" i="5"/>
  <c r="H6" i="5"/>
  <c r="I2" i="5"/>
  <c r="I3" i="5"/>
  <c r="I4" i="5"/>
  <c r="I5" i="5"/>
  <c r="I6" i="5"/>
  <c r="A2" i="4"/>
  <c r="A3" i="4"/>
  <c r="A4" i="4"/>
  <c r="A5" i="4"/>
  <c r="A6" i="4"/>
  <c r="B2" i="4"/>
  <c r="B3" i="4"/>
  <c r="B4" i="4"/>
  <c r="B5" i="4"/>
  <c r="B6" i="4"/>
  <c r="C2" i="4"/>
  <c r="C3" i="4"/>
  <c r="C4" i="4"/>
  <c r="C5" i="4"/>
  <c r="C6" i="4"/>
  <c r="D2" i="4"/>
  <c r="D3" i="4"/>
  <c r="D4" i="4"/>
  <c r="D5" i="4"/>
  <c r="D6" i="4"/>
  <c r="E2" i="4"/>
  <c r="E3" i="4"/>
  <c r="E4" i="4"/>
  <c r="E5" i="4"/>
  <c r="E6" i="4"/>
  <c r="A2" i="3"/>
  <c r="A3" i="3"/>
  <c r="A4" i="3"/>
  <c r="A5" i="3"/>
  <c r="B2" i="3"/>
  <c r="B3" i="3"/>
  <c r="B4" i="3"/>
  <c r="B5" i="3"/>
  <c r="C2" i="3"/>
  <c r="C3" i="3"/>
  <c r="C4" i="3"/>
  <c r="C5" i="3"/>
  <c r="D2" i="3"/>
  <c r="D3" i="3"/>
  <c r="D4" i="3"/>
  <c r="D5" i="3"/>
  <c r="E2" i="3"/>
  <c r="E3" i="3"/>
  <c r="E4" i="3"/>
  <c r="E5" i="3"/>
  <c r="A2" i="11"/>
  <c r="A3" i="11"/>
  <c r="A4" i="11"/>
  <c r="A5" i="11"/>
  <c r="B2" i="11"/>
  <c r="B3" i="11"/>
  <c r="B4" i="11"/>
  <c r="B5" i="11"/>
  <c r="C2" i="11"/>
  <c r="C3" i="11"/>
  <c r="C4" i="11"/>
  <c r="C5" i="11"/>
  <c r="D2" i="11"/>
  <c r="D3" i="11"/>
  <c r="D4" i="11"/>
  <c r="D5" i="11"/>
  <c r="E2" i="11"/>
  <c r="E3" i="11"/>
  <c r="E4" i="11"/>
  <c r="E5" i="11"/>
  <c r="A2" i="10"/>
  <c r="A3" i="10"/>
  <c r="A4" i="10"/>
  <c r="A5" i="10"/>
  <c r="B2" i="10"/>
  <c r="B3" i="10"/>
  <c r="B4" i="10"/>
  <c r="B5" i="10"/>
  <c r="C2" i="10"/>
  <c r="C3" i="10"/>
  <c r="C4" i="10"/>
  <c r="C5" i="10"/>
  <c r="D2" i="10"/>
  <c r="D3" i="10"/>
  <c r="D4" i="10"/>
  <c r="D5" i="10"/>
  <c r="E2" i="10"/>
  <c r="E3" i="10"/>
  <c r="E4" i="10"/>
  <c r="E5" i="10"/>
  <c r="A2" i="9"/>
  <c r="A3" i="9"/>
  <c r="A4" i="9"/>
  <c r="A5" i="9"/>
  <c r="B2" i="9"/>
  <c r="B3" i="9"/>
  <c r="B4" i="9"/>
  <c r="B5" i="9"/>
  <c r="C2" i="9"/>
  <c r="C3" i="9"/>
  <c r="C4" i="9"/>
  <c r="C5" i="9"/>
  <c r="D2" i="9"/>
  <c r="D3" i="9"/>
  <c r="D4" i="9"/>
  <c r="D5" i="9"/>
  <c r="E2" i="9"/>
  <c r="E3" i="9"/>
  <c r="E4" i="9"/>
  <c r="E5" i="9"/>
  <c r="A2" i="8"/>
  <c r="A3" i="8"/>
  <c r="A4" i="8"/>
  <c r="B2" i="8"/>
  <c r="B3" i="8"/>
  <c r="B4" i="8"/>
  <c r="C2" i="8"/>
  <c r="C3" i="8"/>
  <c r="C4" i="8"/>
  <c r="D2" i="8"/>
  <c r="D3" i="8"/>
  <c r="D4" i="8"/>
  <c r="E2" i="8"/>
  <c r="E3" i="8"/>
  <c r="E4" i="8"/>
  <c r="A2" i="15"/>
  <c r="A3" i="15"/>
  <c r="A4" i="15"/>
  <c r="A5" i="15"/>
  <c r="A6" i="15"/>
  <c r="A7" i="15"/>
  <c r="A8" i="15"/>
  <c r="A9" i="15"/>
  <c r="A10" i="15"/>
  <c r="A11" i="15"/>
  <c r="A12" i="15"/>
  <c r="A13" i="15"/>
  <c r="A14" i="15"/>
  <c r="A15" i="15"/>
  <c r="A16" i="15"/>
  <c r="A17" i="15"/>
  <c r="A18" i="15"/>
  <c r="A19" i="15"/>
  <c r="A20" i="15"/>
  <c r="A21" i="15"/>
  <c r="A22" i="15"/>
  <c r="A23" i="15"/>
  <c r="A24" i="15"/>
  <c r="D11" i="19"/>
  <c r="E11" i="19"/>
  <c r="D12" i="19"/>
  <c r="E12" i="19"/>
  <c r="D13" i="19"/>
  <c r="E13" i="19"/>
  <c r="D14" i="19"/>
  <c r="E14" i="19"/>
  <c r="D15" i="19"/>
  <c r="E15" i="19"/>
  <c r="D16" i="19"/>
  <c r="E16" i="19"/>
  <c r="D17" i="19"/>
  <c r="E17" i="19"/>
  <c r="D18" i="19"/>
  <c r="E18" i="19"/>
  <c r="D19" i="19"/>
  <c r="E19" i="19"/>
  <c r="D20" i="19"/>
  <c r="E20" i="19"/>
  <c r="D21" i="19"/>
  <c r="E21" i="19"/>
  <c r="D22" i="19"/>
  <c r="E22" i="19"/>
  <c r="D23" i="19"/>
  <c r="E23" i="19"/>
  <c r="D24" i="19"/>
  <c r="E24" i="19"/>
  <c r="D25" i="19"/>
  <c r="E25" i="19"/>
  <c r="D26" i="19"/>
  <c r="E26" i="19"/>
  <c r="D27" i="19"/>
  <c r="E27" i="19"/>
  <c r="D28" i="19"/>
  <c r="E28" i="19"/>
  <c r="D29" i="19"/>
  <c r="E29" i="19"/>
  <c r="D30" i="19"/>
  <c r="E30" i="19"/>
  <c r="D31" i="19"/>
  <c r="E31" i="19"/>
  <c r="D32" i="19"/>
  <c r="E32" i="19"/>
  <c r="D33" i="19"/>
  <c r="E33" i="19"/>
  <c r="D34" i="19"/>
  <c r="E34" i="19"/>
  <c r="D35" i="19"/>
  <c r="E35" i="19"/>
  <c r="D36" i="19"/>
  <c r="E36" i="19"/>
  <c r="D37" i="19"/>
  <c r="E37" i="19"/>
  <c r="D38" i="19"/>
  <c r="E38" i="19"/>
  <c r="D39" i="19"/>
  <c r="E39" i="19"/>
  <c r="D40" i="19"/>
  <c r="E40" i="19"/>
  <c r="D41" i="19"/>
  <c r="E41" i="19"/>
  <c r="D42" i="19"/>
  <c r="E42" i="19"/>
  <c r="D43" i="19"/>
  <c r="E43" i="19"/>
  <c r="D44" i="19"/>
  <c r="E44" i="19"/>
  <c r="D45" i="19"/>
  <c r="E45" i="19"/>
  <c r="D46" i="19"/>
  <c r="E46" i="19"/>
  <c r="D47" i="19"/>
  <c r="E47" i="19"/>
  <c r="D48" i="19"/>
  <c r="E48" i="19"/>
  <c r="D49" i="19"/>
  <c r="E49" i="19"/>
  <c r="D50" i="19"/>
  <c r="E50" i="19"/>
  <c r="D51" i="19"/>
  <c r="E51" i="19"/>
  <c r="D52" i="19"/>
  <c r="E52" i="19"/>
  <c r="D53" i="19"/>
  <c r="E53" i="19"/>
  <c r="D54" i="19"/>
  <c r="E54" i="19"/>
  <c r="D55" i="19"/>
  <c r="E55" i="19"/>
  <c r="D56" i="19"/>
  <c r="E56" i="19"/>
  <c r="D57" i="19"/>
  <c r="E57" i="19"/>
  <c r="D58" i="19"/>
  <c r="E58" i="19"/>
  <c r="D59" i="19"/>
  <c r="E59" i="19"/>
  <c r="D60" i="19"/>
  <c r="E60" i="19"/>
  <c r="D61" i="19"/>
  <c r="E61" i="19"/>
  <c r="D62" i="19"/>
  <c r="E62" i="19"/>
  <c r="D63" i="19"/>
  <c r="E63" i="19"/>
  <c r="D64" i="19"/>
  <c r="E64" i="19"/>
  <c r="D65" i="19"/>
  <c r="E65" i="19"/>
  <c r="D66" i="19"/>
  <c r="E66" i="19"/>
  <c r="D67" i="19"/>
  <c r="E67" i="19"/>
  <c r="D68" i="19"/>
  <c r="E68" i="19"/>
  <c r="D69" i="19"/>
  <c r="E69" i="19"/>
  <c r="D70" i="19"/>
  <c r="E70" i="19"/>
  <c r="D71" i="19"/>
  <c r="E71" i="19"/>
  <c r="D72" i="19"/>
  <c r="E72" i="19"/>
  <c r="D73" i="19"/>
  <c r="E73" i="19"/>
  <c r="D74" i="19"/>
  <c r="E74" i="19"/>
  <c r="D75" i="19"/>
  <c r="E75" i="19"/>
  <c r="D76" i="19"/>
  <c r="E76" i="19"/>
  <c r="D77" i="19"/>
  <c r="E77" i="19"/>
  <c r="D78" i="19"/>
  <c r="E78" i="19"/>
  <c r="D79" i="19"/>
  <c r="E79" i="19"/>
  <c r="D80" i="19"/>
  <c r="E80" i="19"/>
  <c r="D81" i="19"/>
  <c r="E81" i="19"/>
  <c r="D82" i="19"/>
  <c r="E82" i="19"/>
  <c r="D83" i="19"/>
  <c r="E83" i="19"/>
  <c r="D84" i="19"/>
  <c r="E84" i="19"/>
  <c r="D85" i="19"/>
  <c r="E85" i="19"/>
  <c r="D86" i="19"/>
  <c r="E86" i="19"/>
  <c r="D87" i="19"/>
  <c r="E87" i="19"/>
  <c r="D88" i="19"/>
  <c r="E88" i="19"/>
  <c r="D89" i="19"/>
  <c r="E89" i="19"/>
  <c r="D90" i="19"/>
  <c r="E90" i="19"/>
  <c r="D91" i="19"/>
  <c r="E91" i="19"/>
  <c r="D92" i="19"/>
  <c r="E92" i="19"/>
  <c r="D93" i="19"/>
  <c r="E93" i="19"/>
  <c r="D94" i="19"/>
  <c r="E94" i="19"/>
  <c r="D95" i="19"/>
  <c r="E95" i="19"/>
  <c r="D96" i="19"/>
  <c r="E96" i="19"/>
  <c r="D97" i="19"/>
  <c r="E97" i="19"/>
  <c r="D98" i="19"/>
  <c r="E98" i="19"/>
  <c r="D99" i="19"/>
  <c r="E99" i="19"/>
  <c r="D100" i="19"/>
  <c r="E100" i="19"/>
  <c r="D101" i="19"/>
  <c r="E101" i="19"/>
  <c r="D102" i="19"/>
  <c r="E102" i="19"/>
  <c r="D103" i="19"/>
  <c r="E103" i="19"/>
  <c r="D104" i="19"/>
  <c r="E104" i="19"/>
  <c r="D105" i="19"/>
  <c r="E105" i="19"/>
  <c r="D106" i="19"/>
  <c r="E106" i="19"/>
  <c r="D107" i="19"/>
  <c r="E107" i="19"/>
  <c r="D108" i="19"/>
  <c r="E108" i="19"/>
  <c r="D109" i="19"/>
  <c r="E109" i="19"/>
  <c r="D110" i="19"/>
  <c r="E110" i="19"/>
  <c r="D111" i="19"/>
  <c r="E111" i="19"/>
  <c r="D112" i="19"/>
  <c r="E112" i="19"/>
  <c r="D113" i="19"/>
  <c r="E113" i="19"/>
  <c r="D114" i="19"/>
  <c r="E114" i="19"/>
  <c r="D115" i="19"/>
  <c r="E115" i="19"/>
  <c r="D116" i="19"/>
  <c r="E116" i="19"/>
  <c r="D117" i="19"/>
  <c r="E117" i="19"/>
  <c r="D118" i="19"/>
  <c r="E118" i="19"/>
  <c r="D119" i="19"/>
  <c r="E119" i="19"/>
  <c r="D120" i="19"/>
  <c r="E120" i="19"/>
  <c r="D121" i="19"/>
  <c r="E121" i="19"/>
  <c r="D122" i="19"/>
  <c r="E122" i="19"/>
  <c r="D123" i="19"/>
  <c r="E123" i="19"/>
  <c r="D124" i="19"/>
  <c r="E124" i="19"/>
  <c r="D125" i="19"/>
  <c r="E125" i="19"/>
  <c r="D126" i="19"/>
  <c r="E126" i="19"/>
  <c r="D127" i="19"/>
  <c r="E127" i="19"/>
  <c r="D128" i="19"/>
  <c r="E128" i="19"/>
  <c r="D129" i="19"/>
  <c r="E129" i="19"/>
  <c r="D130" i="19"/>
  <c r="E130" i="19"/>
  <c r="D131" i="19"/>
  <c r="E131" i="19"/>
  <c r="D132" i="19"/>
  <c r="E132" i="19"/>
  <c r="D133" i="19"/>
  <c r="E133" i="19"/>
  <c r="D134" i="19"/>
  <c r="E134" i="19"/>
  <c r="D135" i="19"/>
  <c r="E135" i="19"/>
  <c r="D136" i="19"/>
  <c r="E136" i="19"/>
  <c r="D137" i="19"/>
  <c r="E137" i="19"/>
  <c r="D138" i="19"/>
  <c r="E138" i="19"/>
  <c r="D139" i="19"/>
  <c r="E139" i="19"/>
  <c r="D140" i="19"/>
  <c r="E140" i="19"/>
  <c r="D141" i="19"/>
  <c r="E141" i="19"/>
  <c r="D142" i="19"/>
  <c r="E142" i="19"/>
  <c r="D143" i="19"/>
  <c r="E143" i="19"/>
  <c r="D144" i="19"/>
  <c r="E144" i="19"/>
  <c r="D145" i="19"/>
  <c r="E145" i="19"/>
  <c r="D146" i="19"/>
  <c r="E146" i="19"/>
  <c r="D147" i="19"/>
  <c r="E147" i="19"/>
  <c r="D148" i="19"/>
  <c r="E148" i="19"/>
  <c r="D149" i="19"/>
  <c r="E149" i="19"/>
  <c r="D150" i="19"/>
  <c r="E150" i="19"/>
  <c r="D151" i="19"/>
  <c r="E151" i="19"/>
  <c r="D152" i="19"/>
  <c r="E152" i="19"/>
  <c r="D153" i="19"/>
  <c r="E153" i="19"/>
  <c r="D154" i="19"/>
  <c r="E154" i="19"/>
  <c r="D155" i="19"/>
  <c r="E155" i="19"/>
  <c r="D156" i="19"/>
  <c r="E156" i="19"/>
  <c r="D157" i="19"/>
  <c r="E157" i="19"/>
  <c r="D158" i="19"/>
  <c r="E158" i="19"/>
  <c r="D159" i="19"/>
  <c r="E159" i="19"/>
  <c r="D160" i="19"/>
  <c r="E160" i="19"/>
  <c r="D161" i="19"/>
  <c r="E161" i="19"/>
  <c r="D162" i="19"/>
  <c r="E162" i="19"/>
  <c r="D163" i="19"/>
  <c r="E163" i="19"/>
  <c r="D164" i="19"/>
  <c r="E164" i="19"/>
  <c r="D165" i="19"/>
  <c r="E165" i="19"/>
  <c r="D166" i="19"/>
  <c r="E166" i="19"/>
  <c r="D167" i="19"/>
  <c r="E167" i="19"/>
  <c r="D168" i="19"/>
  <c r="E168" i="19"/>
  <c r="D169" i="19"/>
  <c r="E169" i="19"/>
  <c r="D170" i="19"/>
  <c r="E170" i="19"/>
  <c r="D171" i="19"/>
  <c r="E171" i="19"/>
  <c r="D172" i="19"/>
  <c r="E172" i="19"/>
  <c r="D173" i="19"/>
  <c r="E173" i="19"/>
  <c r="D174" i="19"/>
  <c r="E174" i="19"/>
  <c r="D175" i="19"/>
  <c r="E175" i="19"/>
  <c r="D176" i="19"/>
  <c r="E176" i="19"/>
  <c r="D177" i="19"/>
  <c r="E177" i="19"/>
  <c r="D178" i="19"/>
  <c r="E178" i="19"/>
  <c r="D179" i="19"/>
  <c r="E179" i="19"/>
  <c r="D180" i="19"/>
  <c r="E180" i="19"/>
  <c r="D181" i="19"/>
  <c r="E181" i="19"/>
  <c r="D182" i="19"/>
  <c r="E182" i="19"/>
  <c r="D183" i="19"/>
  <c r="E183" i="19"/>
  <c r="D184" i="19"/>
  <c r="E184" i="19"/>
  <c r="D185" i="19"/>
  <c r="E185" i="19"/>
  <c r="D186" i="19"/>
  <c r="E186" i="19"/>
  <c r="D187" i="19"/>
  <c r="E187" i="19"/>
  <c r="D188" i="19"/>
  <c r="E188" i="19"/>
  <c r="D189" i="19"/>
  <c r="E189" i="19"/>
  <c r="D190" i="19"/>
  <c r="E190" i="19"/>
  <c r="D191" i="19"/>
  <c r="E191" i="19"/>
  <c r="D192" i="19"/>
  <c r="E192" i="19"/>
  <c r="D193" i="19"/>
  <c r="E193" i="19"/>
  <c r="D194" i="19"/>
  <c r="E194" i="19"/>
  <c r="D195" i="19"/>
  <c r="E195" i="19"/>
  <c r="D196" i="19"/>
  <c r="E196" i="19"/>
  <c r="D197" i="19"/>
  <c r="E197" i="19"/>
  <c r="D198" i="19"/>
  <c r="E198" i="19"/>
  <c r="D199" i="19"/>
  <c r="E199" i="19"/>
  <c r="D200" i="19"/>
  <c r="E200" i="19"/>
  <c r="D201" i="19"/>
  <c r="E201" i="19"/>
  <c r="D202" i="19"/>
  <c r="E202" i="19"/>
  <c r="D203" i="19"/>
  <c r="E203" i="19"/>
  <c r="D204" i="19"/>
  <c r="E204" i="19"/>
  <c r="D205" i="19"/>
  <c r="E205" i="19"/>
  <c r="D206" i="19"/>
  <c r="E206" i="19"/>
  <c r="D207" i="19"/>
  <c r="E207" i="19"/>
  <c r="D208" i="19"/>
  <c r="E208" i="19"/>
  <c r="D209" i="19"/>
  <c r="E209" i="19"/>
  <c r="D210" i="19"/>
  <c r="E210" i="19"/>
  <c r="D211" i="19"/>
  <c r="E211" i="19"/>
  <c r="D212" i="19"/>
  <c r="E212" i="19"/>
  <c r="D213" i="19"/>
  <c r="E213" i="19"/>
  <c r="D214" i="19"/>
  <c r="E214" i="19"/>
  <c r="D215" i="19"/>
  <c r="E215" i="19"/>
  <c r="D216" i="19"/>
  <c r="E216" i="19"/>
  <c r="D217" i="19"/>
  <c r="E217" i="19"/>
  <c r="D218" i="19"/>
  <c r="E218" i="19"/>
  <c r="D219" i="19"/>
  <c r="E219" i="19"/>
  <c r="D220" i="19"/>
  <c r="E220" i="19"/>
  <c r="D221" i="19"/>
  <c r="E221" i="19"/>
  <c r="D222" i="19"/>
  <c r="E222" i="19"/>
  <c r="D223" i="19"/>
  <c r="E223" i="19"/>
  <c r="D224" i="19"/>
  <c r="E224" i="19"/>
  <c r="D225" i="19"/>
  <c r="E225" i="19"/>
  <c r="D226" i="19"/>
  <c r="E226" i="19"/>
  <c r="D227" i="19"/>
  <c r="E227" i="19"/>
  <c r="D228" i="19"/>
  <c r="E228" i="19"/>
  <c r="D229" i="19"/>
  <c r="E229" i="19"/>
  <c r="D230" i="19"/>
  <c r="E230" i="19"/>
  <c r="D231" i="19"/>
  <c r="E231" i="19"/>
  <c r="D232" i="19"/>
  <c r="E232" i="19"/>
  <c r="D233" i="19"/>
  <c r="E233" i="19"/>
  <c r="D234" i="19"/>
  <c r="E234" i="19"/>
  <c r="D235" i="19"/>
  <c r="E235" i="19"/>
  <c r="D236" i="19"/>
  <c r="E236" i="19"/>
  <c r="D237" i="19"/>
  <c r="E237" i="19"/>
  <c r="D238" i="19"/>
  <c r="E238" i="19"/>
  <c r="D239" i="19"/>
  <c r="E239" i="19"/>
  <c r="D240" i="19"/>
  <c r="E240" i="19"/>
  <c r="D241" i="19"/>
  <c r="E241" i="19"/>
  <c r="D242" i="19"/>
  <c r="E242" i="19"/>
  <c r="D243" i="19"/>
  <c r="E243" i="19"/>
  <c r="D244" i="19"/>
  <c r="E244" i="19"/>
  <c r="D245" i="19"/>
  <c r="E245" i="19"/>
  <c r="D246" i="19"/>
  <c r="E246" i="19"/>
  <c r="D247" i="19"/>
  <c r="E247" i="19"/>
  <c r="D248" i="19"/>
  <c r="E248" i="19"/>
  <c r="D249" i="19"/>
  <c r="E249" i="19"/>
  <c r="D250" i="19"/>
  <c r="E250" i="19"/>
  <c r="D251" i="19"/>
  <c r="E251" i="19"/>
  <c r="D252" i="19"/>
  <c r="E252" i="19"/>
  <c r="D253" i="19"/>
  <c r="E253" i="19"/>
  <c r="D254" i="19"/>
  <c r="E254" i="19"/>
  <c r="D255" i="19"/>
  <c r="E255" i="19"/>
  <c r="D256" i="19"/>
  <c r="E256" i="19"/>
  <c r="D257" i="19"/>
  <c r="E257" i="19"/>
  <c r="D258" i="19"/>
  <c r="E258" i="19"/>
  <c r="D259" i="19"/>
  <c r="E259" i="19"/>
  <c r="D260" i="19"/>
  <c r="E260" i="19"/>
  <c r="D261" i="19"/>
  <c r="E261" i="19"/>
  <c r="D262" i="19"/>
  <c r="E262" i="19"/>
  <c r="D263" i="19"/>
  <c r="E263" i="19"/>
  <c r="D264" i="19"/>
  <c r="E264" i="19"/>
  <c r="D265" i="19"/>
  <c r="E265" i="19"/>
  <c r="D266" i="19"/>
  <c r="E266" i="19"/>
  <c r="D267" i="19"/>
  <c r="E267" i="19"/>
  <c r="D268" i="19"/>
  <c r="E268" i="19"/>
  <c r="D269" i="19"/>
  <c r="E269" i="19"/>
  <c r="D270" i="19"/>
  <c r="E270" i="19"/>
  <c r="D271" i="19"/>
  <c r="E271" i="19"/>
  <c r="D272" i="19"/>
  <c r="E272" i="19"/>
  <c r="D273" i="19"/>
  <c r="E273" i="19"/>
  <c r="D274" i="19"/>
  <c r="E274" i="19"/>
  <c r="D275" i="19"/>
  <c r="E275" i="19"/>
  <c r="D276" i="19"/>
  <c r="E276" i="19"/>
  <c r="D277" i="19"/>
  <c r="E277" i="19"/>
  <c r="D278" i="19"/>
  <c r="E278" i="19"/>
  <c r="D279" i="19"/>
  <c r="E279" i="19"/>
  <c r="D280" i="19"/>
  <c r="E280" i="19"/>
  <c r="E10" i="19"/>
  <c r="D10" i="19"/>
  <c r="L12" i="16"/>
  <c r="D3" i="16" l="1"/>
  <c r="D3" i="17"/>
  <c r="D3" i="18"/>
  <c r="D3" i="12"/>
  <c r="C3" i="16"/>
  <c r="C3" i="17"/>
  <c r="C3" i="18"/>
  <c r="C3" i="12"/>
  <c r="B3" i="16"/>
  <c r="B3" i="17"/>
  <c r="B3" i="18"/>
  <c r="B3" i="12"/>
  <c r="A3" i="16"/>
  <c r="A3" i="17"/>
  <c r="A3" i="18"/>
  <c r="A3" i="12"/>
  <c r="E2" i="16"/>
  <c r="E2" i="17"/>
  <c r="E2" i="18"/>
  <c r="E2" i="12"/>
  <c r="D2" i="16"/>
  <c r="D2" i="17"/>
  <c r="D2" i="18"/>
  <c r="D2" i="12"/>
  <c r="C2" i="16"/>
  <c r="C2" i="17"/>
  <c r="C2" i="18"/>
  <c r="C2" i="12"/>
  <c r="B2" i="16"/>
  <c r="B2" i="17"/>
  <c r="B2" i="18"/>
  <c r="B2" i="12"/>
  <c r="A2" i="16"/>
  <c r="A2" i="17"/>
  <c r="A2" i="18"/>
  <c r="A2" i="12"/>
  <c r="L32" i="16"/>
  <c r="L31" i="16"/>
  <c r="M14" i="16"/>
  <c r="L30" i="17"/>
  <c r="L32" i="12"/>
  <c r="L31" i="12"/>
  <c r="M32" i="18"/>
  <c r="M14" i="12"/>
  <c r="M32" i="16"/>
  <c r="L32" i="18"/>
  <c r="M30" i="17"/>
  <c r="L33" i="16"/>
  <c r="L14" i="17"/>
  <c r="M33" i="16"/>
  <c r="L33" i="18"/>
  <c r="L31" i="18"/>
  <c r="M32" i="12"/>
  <c r="M30" i="18"/>
  <c r="L33" i="17"/>
  <c r="L14" i="12"/>
  <c r="L30" i="12"/>
  <c r="M31" i="17"/>
  <c r="M14" i="18"/>
  <c r="L12" i="18"/>
  <c r="M31" i="18"/>
  <c r="M30" i="12"/>
  <c r="M14" i="17"/>
  <c r="M30" i="16"/>
  <c r="M31" i="12"/>
  <c r="L14" i="18"/>
  <c r="M32" i="17"/>
  <c r="L33" i="12"/>
  <c r="L12" i="17"/>
  <c r="M33" i="17"/>
  <c r="L14" i="16"/>
  <c r="L30" i="18"/>
  <c r="M33" i="12"/>
  <c r="L32" i="17"/>
  <c r="M31" i="16"/>
  <c r="L30" i="16"/>
  <c r="L12" i="12"/>
  <c r="L31" i="17"/>
  <c r="M33" i="18"/>
  <c r="N11" i="16" l="1"/>
  <c r="N25" i="16"/>
  <c r="N23" i="16"/>
  <c r="N11" i="17"/>
  <c r="N25" i="17"/>
  <c r="N23" i="17"/>
  <c r="N25" i="12"/>
  <c r="N23" i="12"/>
  <c r="N11" i="12"/>
  <c r="N11" i="18"/>
  <c r="N25" i="18"/>
  <c r="N23" i="18"/>
  <c r="L20" i="12"/>
  <c r="L15" i="17"/>
  <c r="L34" i="18"/>
  <c r="M21" i="18"/>
  <c r="L15" i="18"/>
  <c r="L21" i="18"/>
  <c r="L24" i="18"/>
  <c r="L34" i="12"/>
  <c r="L29" i="18"/>
  <c r="L34" i="17"/>
  <c r="L34" i="16"/>
  <c r="L16" i="18"/>
  <c r="M24" i="18"/>
  <c r="L11" i="18"/>
  <c r="L20" i="18"/>
  <c r="L25" i="18"/>
  <c r="L13" i="18"/>
  <c r="L22" i="18"/>
  <c r="M26" i="18"/>
  <c r="L23" i="18"/>
  <c r="L27" i="18"/>
  <c r="L26" i="18"/>
  <c r="L28" i="18"/>
  <c r="L24" i="17"/>
  <c r="M24" i="17"/>
  <c r="L25" i="17"/>
  <c r="L21" i="17"/>
  <c r="L13" i="17"/>
  <c r="L22" i="17"/>
  <c r="M26" i="17"/>
  <c r="L11" i="17"/>
  <c r="L20" i="17"/>
  <c r="L26" i="17"/>
  <c r="L23" i="17"/>
  <c r="L27" i="17"/>
  <c r="L29" i="17"/>
  <c r="L16" i="17"/>
  <c r="M21" i="17"/>
  <c r="L28" i="17"/>
  <c r="L26" i="16"/>
  <c r="L24" i="16"/>
  <c r="L13" i="16"/>
  <c r="L15" i="16"/>
  <c r="L29" i="16"/>
  <c r="L16" i="16"/>
  <c r="M24" i="16"/>
  <c r="L11" i="16"/>
  <c r="L20" i="16"/>
  <c r="L25" i="16"/>
  <c r="L21" i="16"/>
  <c r="L22" i="16"/>
  <c r="L23" i="16"/>
  <c r="L27" i="16"/>
  <c r="M21" i="16"/>
  <c r="M26" i="16"/>
  <c r="L28" i="16"/>
  <c r="L16" i="12"/>
  <c r="L15" i="12"/>
  <c r="L11" i="12"/>
  <c r="L24" i="12" l="1"/>
  <c r="L26" i="12"/>
  <c r="L29" i="12"/>
  <c r="L28" i="12"/>
  <c r="L22" i="12"/>
  <c r="L23" i="12"/>
  <c r="M21" i="12"/>
  <c r="L27" i="12"/>
  <c r="M26" i="12"/>
  <c r="M24" i="12"/>
  <c r="L25" i="12"/>
  <c r="L21" i="12"/>
  <c r="L13"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Andreas Zurbrügg</author>
  </authors>
  <commentList>
    <comment ref="C7" authorId="0" shapeId="0" xr:uid="{61389E08-5F12-4E98-AABE-87E78D2F8CD4}">
      <text>
        <r>
          <rPr>
            <b/>
            <sz val="9"/>
            <color indexed="81"/>
            <rFont val="Segoe UI"/>
            <family val="2"/>
          </rPr>
          <t>Andreas Zurbrügg:</t>
        </r>
        <r>
          <rPr>
            <sz val="9"/>
            <color indexed="81"/>
            <rFont val="Segoe UI"/>
            <family val="2"/>
          </rPr>
          <t xml:space="preserve">
Hier kannst du die Oberziele deines Projektes eintragen</t>
        </r>
      </text>
    </comment>
    <comment ref="E30" authorId="0" shapeId="0" xr:uid="{9D6DBAAF-58C1-44C9-B7BE-45544DDD9958}">
      <text>
        <r>
          <rPr>
            <b/>
            <sz val="9"/>
            <color indexed="81"/>
            <rFont val="Segoe UI"/>
            <family val="2"/>
          </rPr>
          <t>Andreas Zurbrügg:</t>
        </r>
        <r>
          <rPr>
            <sz val="9"/>
            <color indexed="81"/>
            <rFont val="Segoe UI"/>
            <family val="2"/>
          </rPr>
          <t xml:space="preserve">
für SAM global interessant. Unité möchte nur die erfolgreich abgeschlossenen. Können wir beides erfassen, wie bisher? Sollte eigentlich möglich sein.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Andreas Zurbrügg</author>
  </authors>
  <commentList>
    <comment ref="C15" authorId="0" shapeId="0" xr:uid="{889FB773-2D78-489B-818F-2215CAF8A75D}">
      <text>
        <r>
          <rPr>
            <b/>
            <sz val="9"/>
            <color indexed="81"/>
            <rFont val="Segoe UI"/>
            <family val="2"/>
          </rPr>
          <t>Andreas Zurbrügg:</t>
        </r>
        <r>
          <rPr>
            <sz val="9"/>
            <color indexed="81"/>
            <rFont val="Segoe UI"/>
            <family val="2"/>
          </rPr>
          <t xml:space="preserve">
Veränderte Leben und veränderte Herzen
</t>
        </r>
      </text>
    </comment>
    <comment ref="G31" authorId="0" shapeId="0" xr:uid="{993C704C-6F7E-4A1E-BBEE-4655451A7323}">
      <text>
        <r>
          <rPr>
            <b/>
            <sz val="9"/>
            <color indexed="81"/>
            <rFont val="Segoe UI"/>
            <family val="2"/>
          </rPr>
          <t>Andreas Zurbrügg:</t>
        </r>
        <r>
          <rPr>
            <sz val="9"/>
            <color indexed="81"/>
            <rFont val="Segoe UI"/>
            <family val="2"/>
          </rPr>
          <t xml:space="preserve">
Besuchte in Gefängnissen ? Oder eher bei theologischer praxis? 
</t>
        </r>
      </text>
    </comment>
    <comment ref="G32" authorId="0" shapeId="0" xr:uid="{405AFC83-9340-46BD-AC75-4AE27A2E2CB0}">
      <text>
        <r>
          <rPr>
            <b/>
            <sz val="9"/>
            <color indexed="81"/>
            <rFont val="Segoe UI"/>
            <family val="2"/>
          </rPr>
          <t>Andreas Zurbrügg:</t>
        </r>
        <r>
          <rPr>
            <sz val="9"/>
            <color indexed="81"/>
            <rFont val="Segoe UI"/>
            <family val="2"/>
          </rPr>
          <t xml:space="preserve">
Besuchte in Gefängnissen ? Oder eher bei theologischer praxis?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Andreas Zurbrügg</author>
  </authors>
  <commentList>
    <comment ref="E29" authorId="0" shapeId="0" xr:uid="{659406F8-9E7D-4F7E-A747-97A995E063AE}">
      <text>
        <r>
          <rPr>
            <b/>
            <sz val="9"/>
            <color indexed="81"/>
            <rFont val="Segoe UI"/>
            <family val="2"/>
          </rPr>
          <t>Andreas Zurbrügg:</t>
        </r>
        <r>
          <rPr>
            <sz val="9"/>
            <color indexed="81"/>
            <rFont val="Segoe UI"/>
            <family val="2"/>
          </rPr>
          <t xml:space="preserve">
Was machen mit Übernahme von Kopierkosten für Skriipte (z.B. ISTEM)?</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56A300A-9804-403F-870B-7260A6DDD336}" keepAlive="1" name="Abfrage - group_I_10c_Neue_Angebote" description="Verbindung mit der Abfrage 'group_I_10c_Neue_Angebote' in der Arbeitsmappe." type="5" refreshedVersion="6" background="1" saveData="1">
    <dbPr connection="Provider=Microsoft.Mashup.OleDb.1;Data Source=$Workbook$;Location=group_I_10c_Neue_Angebote;Extended Properties=&quot;&quot;" command="SELECT * FROM [group_I_10c_Neue_Angebote]"/>
  </connection>
  <connection id="2" xr16:uid="{8E886282-1EF0-4BB7-86D4-41135559ECD1}" keepAlive="1" name="Abfrage - group_I_40_Partnerorg" description="Verbindung mit der Abfrage 'group_I_40_Partnerorg' in der Arbeitsmappe." type="5" refreshedVersion="6" background="1" saveData="1">
    <dbPr connection="Provider=Microsoft.Mashup.OleDb.1;Data Source=$Workbook$;Location=group_I_40_Partnerorg;Extended Properties=&quot;&quot;" command="SELECT * FROM [group_I_40_Partnerorg]"/>
  </connection>
  <connection id="3" xr16:uid="{317ABFC9-4B0F-47F4-B04F-103799DA0259}" keepAlive="1" name="Abfrage - group_I_41_Einsatzleistende" description="Verbindung mit der Abfrage 'group_I_41_Einsatzleistende' in der Arbeitsmappe." type="5" refreshedVersion="6" background="1" saveData="1">
    <dbPr connection="Provider=Microsoft.Mashup.OleDb.1;Data Source=$Workbook$;Location=group_I_41_Einsatzleistende;Extended Properties=&quot;&quot;" command="SELECT * FROM [group_I_41_Einsatzleistende]"/>
  </connection>
  <connection id="4" xr16:uid="{5D6B0D70-97F8-4866-8A84-6B225E3E8DBE}" keepAlive="1" name="Abfrage - group_I_50_strukt_Veraend" description="Verbindung mit der Abfrage 'group_I_50_strukt_Veraend' in der Arbeitsmappe." type="5" refreshedVersion="6" background="1" saveData="1">
    <dbPr connection="Provider=Microsoft.Mashup.OleDb.1;Data Source=$Workbook$;Location=group_I_50_strukt_Veraend;Extended Properties=&quot;&quot;" command="SELECT * FROM [group_I_50_strukt_Veraend]"/>
  </connection>
  <connection id="5" xr16:uid="{18421533-45E2-4C3B-90B5-D856A70E6721}" keepAlive="1" name="Abfrage - group_I_51_WB_Admin" description="Verbindung mit der Abfrage 'group_I_51_WB_Admin' in der Arbeitsmappe." type="5" refreshedVersion="6" background="1" saveData="1">
    <dbPr connection="Provider=Microsoft.Mashup.OleDb.1;Data Source=$Workbook$;Location=group_I_51_WB_Admin;Extended Properties=&quot;&quot;" command="SELECT * FROM [group_I_51_WB_Admin]"/>
  </connection>
  <connection id="6" xr16:uid="{18CA4301-8E3A-4B76-ADCC-7B06D38FDB59}" keepAlive="1" name="Abfrage - group_I_52_WB_Fachpers" description="Verbindung mit der Abfrage 'group_I_52_WB_Fachpers' in der Arbeitsmappe." type="5" refreshedVersion="6" background="1" saveData="1">
    <dbPr connection="Provider=Microsoft.Mashup.OleDb.1;Data Source=$Workbook$;Location=group_I_52_WB_Fachpers;Extended Properties=&quot;&quot;" command="SELECT * FROM [group_I_52_WB_Fachpers]"/>
  </connection>
  <connection id="7" xr16:uid="{D730341A-3EE5-4952-BA45-2AB52DD42A47}" keepAlive="1" name="Abfrage - group_I_53_Infrastruktur" description="Verbindung mit der Abfrage 'group_I_53_Infrastruktur' in der Arbeitsmappe." type="5" refreshedVersion="6" background="1" saveData="1">
    <dbPr connection="Provider=Microsoft.Mashup.OleDb.1;Data Source=$Workbook$;Location=group_I_53_Infrastruktur;Extended Properties=&quot;&quot;" command="SELECT * FROM [group_I_53_Infrastruktur]"/>
  </connection>
  <connection id="8" xr16:uid="{C9485217-4B0B-418C-AA12-B766700879F0}" keepAlive="1" name="Abfrage - group_I_54_Hilfsmittel" description="Verbindung mit der Abfrage 'group_I_54_Hilfsmittel' in der Arbeitsmappe." type="5" refreshedVersion="6" background="1" saveData="1">
    <dbPr connection="Provider=Microsoft.Mashup.OleDb.1;Data Source=$Workbook$;Location=group_I_54_Hilfsmittel;Extended Properties=&quot;&quot;" command="SELECT * FROM [group_I_54_Hilfsmittel]"/>
  </connection>
  <connection id="9" xr16:uid="{D312CB66-501C-46AB-9E94-5650CFAEB330}" keepAlive="1" name="Abfrage - group_I_70_Anz_Kontakte" description="Verbindung mit der Abfrage 'group_I_70_Anz_Kontakte' in der Arbeitsmappe." type="5" refreshedVersion="6" background="1" saveData="1">
    <dbPr connection="Provider=Microsoft.Mashup.OleDb.1;Data Source=$Workbook$;Location=group_I_70_Anz_Kontakte;Extended Properties=&quot;&quot;" command="SELECT * FROM [group_I_70_Anz_Kontakte]"/>
  </connection>
  <connection id="10" xr16:uid="{DED3F076-964E-44B2-9698-65D19BB05B58}" keepAlive="1" name="Abfrage - Haupttabelle" description="Verbindung mit der Abfrage 'Haupttabelle' in der Arbeitsmappe." type="5" refreshedVersion="6" background="1" saveData="1">
    <dbPr connection="Provider=Microsoft.Mashup.OleDb.1;Data Source=$Workbook$;Location=Haupttabelle;Extended Properties=&quot;&quot;" command="SELECT * FROM [Haupttabelle]"/>
  </connection>
</connections>
</file>

<file path=xl/sharedStrings.xml><?xml version="1.0" encoding="utf-8"?>
<sst xmlns="http://schemas.openxmlformats.org/spreadsheetml/2006/main" count="1778" uniqueCount="560">
  <si>
    <t>https://kc.humanitarianresponse.info/api/v1/data/785755.xls</t>
  </si>
  <si>
    <t>start</t>
  </si>
  <si>
    <t>end</t>
  </si>
  <si>
    <t>Name</t>
  </si>
  <si>
    <t>Land</t>
  </si>
  <si>
    <t>Projekt</t>
  </si>
  <si>
    <t>Teilprojekt</t>
  </si>
  <si>
    <t>Schwerpunkt</t>
  </si>
  <si>
    <t>Waehle_Indikator</t>
  </si>
  <si>
    <t>Waehle_Indikator/I_10a</t>
  </si>
  <si>
    <t>Waehle_Indikator/I_10b</t>
  </si>
  <si>
    <t>Waehle_Indikator/I_10c</t>
  </si>
  <si>
    <t>Waehle_Indikator/I_20</t>
  </si>
  <si>
    <t>Waehle_Indikator/I_21</t>
  </si>
  <si>
    <t>Waehle_Indikator/I_30</t>
  </si>
  <si>
    <t>Waehle_Indikator/I_40</t>
  </si>
  <si>
    <t>Waehle_Indikator/I_41</t>
  </si>
  <si>
    <t>Waehle_Indikator/I_50</t>
  </si>
  <si>
    <t>Waehle_Indikator/I_51</t>
  </si>
  <si>
    <t>Waehle_Indikator/I_52</t>
  </si>
  <si>
    <t>Waehle_Indikator/I_53</t>
  </si>
  <si>
    <t>Waehle_Indikator/I_54</t>
  </si>
  <si>
    <t>Waehle_Indikator/I_60</t>
  </si>
  <si>
    <t>Waehle_Indikator/I_61</t>
  </si>
  <si>
    <t>Waehle_Indikator/I_70</t>
  </si>
  <si>
    <t>I_10a_Zunahme_Eigenfinanzierun</t>
  </si>
  <si>
    <t>group_I_10b_Personelle_Abhaeng/I_10b_Abnahme_pers_Abhaengigke</t>
  </si>
  <si>
    <t>group_I_10b_Personelle_Abhaeng/Verantwortung_uebernommen</t>
  </si>
  <si>
    <t>group_I_20_Verantw_uebernommen/Anzahl_Jungen_Maenner_I20</t>
  </si>
  <si>
    <t>group_I_20_Verantw_uebernommen/Anzahl_Maedchen_Frauen_I20</t>
  </si>
  <si>
    <t>group_I_20_Verantw_uebernommen/Veraenderung_bei_Beguenstigten</t>
  </si>
  <si>
    <t>group_I_20_Verantw_uebernommen/Erzaehle_Geschichte</t>
  </si>
  <si>
    <t>group_I_21_lebensv_Entwicklung/Geschichte_lebensv_Erfahrung</t>
  </si>
  <si>
    <t>group_I_21_lebensv_Entwicklung/Foto_hochladen</t>
  </si>
  <si>
    <t>I_30_Veraenderung_System</t>
  </si>
  <si>
    <t>group_I_60_Beguenstigte/Beguenstigte</t>
  </si>
  <si>
    <t>group_I_60_Beguenstigte/Anzahl_Jungen_Maenner_I60</t>
  </si>
  <si>
    <t>group_I_60_Beguenstigte/Anzahl_Maedchen_Frauen_I60</t>
  </si>
  <si>
    <t>group_I_61_geistlich_Beguensti/I_61_Art_der_Beguenstigung</t>
  </si>
  <si>
    <t>group_I_61_geistlich_Beguensti/Anzahl_Jungen_Maenner_I61</t>
  </si>
  <si>
    <t>group_I_61_geistlich_Beguensti/Anzahl_Maedchen_Frauen_I61</t>
  </si>
  <si>
    <t>__version__</t>
  </si>
  <si>
    <t>_version_</t>
  </si>
  <si>
    <t>_version__001</t>
  </si>
  <si>
    <t>_version__002</t>
  </si>
  <si>
    <t>_version__003</t>
  </si>
  <si>
    <t>_version__004</t>
  </si>
  <si>
    <t>meta/instanceID</t>
  </si>
  <si>
    <t>_id</t>
  </si>
  <si>
    <t>_uuid</t>
  </si>
  <si>
    <t>_submission_time</t>
  </si>
  <si>
    <t>_index</t>
  </si>
  <si>
    <t>_parent_table_name</t>
  </si>
  <si>
    <t>_parent_index</t>
  </si>
  <si>
    <t>_tags</t>
  </si>
  <si>
    <t>_notes</t>
  </si>
  <si>
    <t>AZU</t>
  </si>
  <si>
    <t>Tschad</t>
  </si>
  <si>
    <t>ProRadja</t>
  </si>
  <si>
    <t>Oasis</t>
  </si>
  <si>
    <t>medizinische_Arbeit_und_Prävention</t>
  </si>
  <si>
    <t>I_10a I_10b I_10c I_20 I_21 I_30 I_40 I_41 I_50 I_51 I_52 I_53 I_54 I_60 I_61 I_70</t>
  </si>
  <si>
    <t>ja</t>
  </si>
  <si>
    <t>Moussa hat Verantwortung übernommen</t>
  </si>
  <si>
    <t>könnenn hygienischer Arbeiten</t>
  </si>
  <si>
    <t>Das ist eine Geschichte aus der Oase</t>
  </si>
  <si>
    <t>Veränderung auf Systemebene in der Oase und darüber hinaus.</t>
  </si>
  <si>
    <t>I_60a_M_Anzahl_Konsultationen</t>
  </si>
  <si>
    <t>Gebetet mit ...</t>
  </si>
  <si>
    <t>v6qWupgkb4ivwGCo66dxJ3</t>
  </si>
  <si>
    <t>vRKnGjRPLGHATg2tCRn9TE</t>
  </si>
  <si>
    <t>vCxnP55UsxXQXVVUy9foeR</t>
  </si>
  <si>
    <t>vFujGdNreKZ3wDtJUr427m</t>
  </si>
  <si>
    <t>v6yWmNSE3q2ZBg8XrLTBBy</t>
  </si>
  <si>
    <t>v6hpM5kDVnYZMsizWC4y8a</t>
  </si>
  <si>
    <t>uuid:4f77225e-6d9a-4d1a-80b0-b30acf55b5c3</t>
  </si>
  <si>
    <t>4f77225e-6d9a-4d1a-80b0-b30acf55b5c3</t>
  </si>
  <si>
    <t/>
  </si>
  <si>
    <t>BRI</t>
  </si>
  <si>
    <t>Brasilien</t>
  </si>
  <si>
    <t>ProRibeirinho</t>
  </si>
  <si>
    <t>TP1_Spiritualitaet</t>
  </si>
  <si>
    <t>theologische_Bildung_und_Praxis</t>
  </si>
  <si>
    <t>Marcel hat Verantwortung übernommen</t>
  </si>
  <si>
    <t>Sind selbständig geworden</t>
  </si>
  <si>
    <t>Geschichte aus Brasilien</t>
  </si>
  <si>
    <t>Veränderung auf Systemebene in Brasilien</t>
  </si>
  <si>
    <t>i_60a_T_Anzahl_Aus_bzw_Weitergebildete</t>
  </si>
  <si>
    <t>haben Predigt gehört</t>
  </si>
  <si>
    <t>uuid:b5b523f8-b4ab-4fe0-9dfd-06c93353726e</t>
  </si>
  <si>
    <t>b5b523f8-b4ab-4fe0-9dfd-06c93353726e</t>
  </si>
  <si>
    <t>Index</t>
  </si>
  <si>
    <t>group_I_10c_Neue_Angebote/Neue_Angebote_und_Leistungen</t>
  </si>
  <si>
    <t>Neues Mikroskop</t>
  </si>
  <si>
    <t>aNXxwCHLz3GhrWmRU4i5hF</t>
  </si>
  <si>
    <t>Neue Coronatestmethode</t>
  </si>
  <si>
    <t>Angebot 3</t>
  </si>
  <si>
    <t>Angebot 4</t>
  </si>
  <si>
    <t>group_I_40_Partnerorg/I_40_Erfasse_Partnerorganisation</t>
  </si>
  <si>
    <t>group_I_40_Partnerorg/Art_der_Partnerorganisation</t>
  </si>
  <si>
    <t>group_I_40_Partnerorg/Art_der_Partnerorganisation/kirchlich_denominationell</t>
  </si>
  <si>
    <t>group_I_40_Partnerorg/Art_der_Partnerorganisation/christlich_nicht_denominationell</t>
  </si>
  <si>
    <t>group_I_40_Partnerorg/Art_der_Partnerorganisation/weltlich</t>
  </si>
  <si>
    <t>group_I_40_Partnerorg/Art_der_Partnerorganisation/staatlich</t>
  </si>
  <si>
    <t>group_I_40_Partnerorg/Art_der_Partnerorganisation/offiziell_anerkannt_und_registriert</t>
  </si>
  <si>
    <t>group_I_40_Partnerorg/Art_der_Partnerorganisation/formelle_Zusammenarbeit_mit_Vertrag</t>
  </si>
  <si>
    <t>group_I_40_Partnerorg/Art_der_Partnerorganisation/informelle_Zusammenarbeit_ohne_Vertrag</t>
  </si>
  <si>
    <t>Test Organisation1</t>
  </si>
  <si>
    <t>kirchlich_denominationell christlich_nicht_denominationell weltlich staatlich offiziell_anerkannt_und_registriert formelle_Zusammenarbeit_mit_Vertrag informelle_Zusammenarbeit_ohne_Vertrag</t>
  </si>
  <si>
    <t>Test Organisation 2</t>
  </si>
  <si>
    <t>weltlich</t>
  </si>
  <si>
    <t>Partner Brasilien 1</t>
  </si>
  <si>
    <t>kirchlich_denominationell staatlich informelle_Zusammenarbeit_ohne_Vertrag</t>
  </si>
  <si>
    <t>Partner Brasilien 2</t>
  </si>
  <si>
    <t>weltlich staatlich offiziell_anerkannt_und_registriert formelle_Zusammenarbeit_mit_Vertrag</t>
  </si>
  <si>
    <t>group_I_41_Einsatzleistende/Name_und_Vorname_Einsatzleistende_r</t>
  </si>
  <si>
    <t>group_I_41_Einsatzleistende/Geschlecht</t>
  </si>
  <si>
    <t>group_I_41_Einsatzleistende/Einsatzart</t>
  </si>
  <si>
    <t>group_I_41_Einsatzleistende/Funktion</t>
  </si>
  <si>
    <t>group_I_41_Einsatzleistende/Im_Einsatz_seit</t>
  </si>
  <si>
    <t>group_I_41_Einsatzleistende/Einsatz_geplant_bis_voraussichtlich</t>
  </si>
  <si>
    <t>Hans Muster</t>
  </si>
  <si>
    <t>m</t>
  </si>
  <si>
    <t>langzeit</t>
  </si>
  <si>
    <t>Administration</t>
  </si>
  <si>
    <t>Wilhelmine Müsterli</t>
  </si>
  <si>
    <t>f</t>
  </si>
  <si>
    <t>lokale_r_Einsatzleistende_r</t>
  </si>
  <si>
    <t>Projektmitarbeit</t>
  </si>
  <si>
    <t>Senior 1</t>
  </si>
  <si>
    <t>kurzzeit</t>
  </si>
  <si>
    <t>Projektleitung_Koordination</t>
  </si>
  <si>
    <t>Seniorita 2</t>
  </si>
  <si>
    <t>Experteneinsatz</t>
  </si>
  <si>
    <t>Andere</t>
  </si>
  <si>
    <t>group_I_50_strukt_Veraend/I_50_Beschreibe_org_Veraender</t>
  </si>
  <si>
    <t>Org. Veränderung 1</t>
  </si>
  <si>
    <t>Org. Veränderung 2</t>
  </si>
  <si>
    <t>Org. Veränderung 3</t>
  </si>
  <si>
    <t>Strukturelle Veränderung 1</t>
  </si>
  <si>
    <t>Strukturelle Veränderung 2</t>
  </si>
  <si>
    <t>group_I_51_WB_Admin/I_51a_Beschreibe_WB_Admin_Pers</t>
  </si>
  <si>
    <t>group_I_51_WB_Admin/Anzahl_Tage_WB_Coaching_I51</t>
  </si>
  <si>
    <t>group_I_51_WB_Admin/I_51b_Anzahl_beg_Maenner</t>
  </si>
  <si>
    <t>group_I_51_WB_Admin/I_51b_Anzahl_beg_Frauen</t>
  </si>
  <si>
    <t>Coaching Admin</t>
  </si>
  <si>
    <t>WB Admin Brasilien 1</t>
  </si>
  <si>
    <t>WB Admin 2</t>
  </si>
  <si>
    <t>group_I_52_WB_Fachpers/I_52a_Beschreibe_WB_Fachperson</t>
  </si>
  <si>
    <t>group_I_52_WB_Fachpers/Anzahl_Tage_WB_Coaching_I52</t>
  </si>
  <si>
    <t>group_I_52_WB_Fachpers/I_52b_Anzahl_beg_Maenner</t>
  </si>
  <si>
    <t>group_I_52_WB_Fachpers/I_52b_Anzahl_beg_Frauen</t>
  </si>
  <si>
    <t>WB Fachpersonal</t>
  </si>
  <si>
    <t>WB Fach 7</t>
  </si>
  <si>
    <t>WB Fach 8</t>
  </si>
  <si>
    <t>group_I_53_Infrastruktur/Beschreibe_die_Investition</t>
  </si>
  <si>
    <t>group_I_53_Infrastruktur/Investition_in_CHF</t>
  </si>
  <si>
    <t>Mauer Oase</t>
  </si>
  <si>
    <t>Wasserturm</t>
  </si>
  <si>
    <t>Infrastruktur</t>
  </si>
  <si>
    <t>Dienstleistung</t>
  </si>
  <si>
    <t>group_I_54_Hilfsmittel/I_54_Art_der_Methoden_Hilfsmit</t>
  </si>
  <si>
    <t>Neue Methode 1</t>
  </si>
  <si>
    <t>Neue Methode 2</t>
  </si>
  <si>
    <t>Technologie Super +</t>
  </si>
  <si>
    <t>Technologie mehr als Super</t>
  </si>
  <si>
    <t>group_I_70_Anz_Kontakte/I_70_Kontakt_Systemebene</t>
  </si>
  <si>
    <t>group_I_70_Anz_Kontakte/I_70_Art_der_Organisation</t>
  </si>
  <si>
    <t>group_I_70_Anz_Kontakte/I_70_Wann_hat_der_Kontakt_stattgefunden</t>
  </si>
  <si>
    <t>group_I_70_Anz_Kontakte/I_70_Grund_o_Resultat_des_Kont</t>
  </si>
  <si>
    <t>Organisation Oase 1</t>
  </si>
  <si>
    <t>politische_Behoerde</t>
  </si>
  <si>
    <t>Grud des Kontakts 1</t>
  </si>
  <si>
    <t>Organisation Oase 2</t>
  </si>
  <si>
    <t>kirchliches_Organ</t>
  </si>
  <si>
    <t>Grund des Kontakts 2</t>
  </si>
  <si>
    <t>Minister X</t>
  </si>
  <si>
    <t>Vertrag vorbereiten</t>
  </si>
  <si>
    <t>Vertrag unterschreiben</t>
  </si>
  <si>
    <t>Plan</t>
  </si>
  <si>
    <t>Reporting 2021</t>
  </si>
  <si>
    <t>Reporting 2022</t>
  </si>
  <si>
    <t>Reporting 2023</t>
  </si>
  <si>
    <t>Imp_01</t>
  </si>
  <si>
    <t>I_01</t>
  </si>
  <si>
    <t>Imp_02</t>
  </si>
  <si>
    <t>I_02</t>
  </si>
  <si>
    <t>Reporting 2024</t>
  </si>
  <si>
    <t>OC_10</t>
  </si>
  <si>
    <t>I_10a</t>
  </si>
  <si>
    <t>Zielwert (Beispiel)</t>
  </si>
  <si>
    <t>Beschreibung (Beispiel/e)</t>
  </si>
  <si>
    <t>I_10b</t>
  </si>
  <si>
    <t>I_10c</t>
  </si>
  <si>
    <t>OC_20</t>
  </si>
  <si>
    <t>I_20_E</t>
  </si>
  <si>
    <t>OC_21</t>
  </si>
  <si>
    <t>I_21_E</t>
  </si>
  <si>
    <t>OC_30</t>
  </si>
  <si>
    <t>I_30</t>
  </si>
  <si>
    <t>OP_40</t>
  </si>
  <si>
    <t>I_40</t>
  </si>
  <si>
    <t>OP_41</t>
  </si>
  <si>
    <t>I_41</t>
  </si>
  <si>
    <t>OP_50</t>
  </si>
  <si>
    <t>I_50</t>
  </si>
  <si>
    <t>OP_51</t>
  </si>
  <si>
    <t>I_51a</t>
  </si>
  <si>
    <t>I_51b</t>
  </si>
  <si>
    <t>OP_52</t>
  </si>
  <si>
    <t>I_52a</t>
  </si>
  <si>
    <t>I_52b</t>
  </si>
  <si>
    <t>OP_53</t>
  </si>
  <si>
    <t>I_53a</t>
  </si>
  <si>
    <t>I_53b</t>
  </si>
  <si>
    <t>OP_54</t>
  </si>
  <si>
    <t>I_54</t>
  </si>
  <si>
    <t>5000.-</t>
  </si>
  <si>
    <t>OP_60</t>
  </si>
  <si>
    <t>I_60a_E</t>
  </si>
  <si>
    <t>I_60b_E</t>
  </si>
  <si>
    <t>I_60c_E</t>
  </si>
  <si>
    <t>OP_61</t>
  </si>
  <si>
    <t>I_61</t>
  </si>
  <si>
    <t>OP_70</t>
  </si>
  <si>
    <t>I_70</t>
  </si>
  <si>
    <t>A_01</t>
  </si>
  <si>
    <t>A_02</t>
  </si>
  <si>
    <t>(Alle)</t>
  </si>
  <si>
    <t>Zeilenbeschriftungen</t>
  </si>
  <si>
    <t>Gesamtergebnis</t>
  </si>
  <si>
    <t>Summe von group_I_60_Beguenstigte/Anzahl_Jungen_Maenner_I60</t>
  </si>
  <si>
    <t>Summe von group_I_60_Beguenstigte/Anzahl_Maedchen_Frauen_I60</t>
  </si>
  <si>
    <t>I_60</t>
  </si>
  <si>
    <t>Angola</t>
  </si>
  <si>
    <t>ProEQUIP_Angola</t>
  </si>
  <si>
    <t>TP_ProEQUIP_Angola</t>
  </si>
  <si>
    <t>Grund_und_Berufsbildung</t>
  </si>
  <si>
    <t>I_10b I_20 I_60 I_61</t>
  </si>
  <si>
    <t>A von b</t>
  </si>
  <si>
    <t>Veränderung 1</t>
  </si>
  <si>
    <t>nein</t>
  </si>
  <si>
    <t>I_60a_E_Anzahl_Grundschuler</t>
  </si>
  <si>
    <t>sdafsadf</t>
  </si>
  <si>
    <t>uuid:ae5656c4-4dcc-4e65-af85-ae7cdc23c2f9</t>
  </si>
  <si>
    <t>ae5656c4-4dcc-4e65-af85-ae7cdc23c2f9</t>
  </si>
  <si>
    <t>Maos_que_Criam</t>
  </si>
  <si>
    <t>TP_Maos_que_Criam</t>
  </si>
  <si>
    <t>Burkina_Faso</t>
  </si>
  <si>
    <t>EE_SIM</t>
  </si>
  <si>
    <t>CEFM</t>
  </si>
  <si>
    <t>I_60c_E_Anzahl_ausserschulische_Angebote</t>
  </si>
  <si>
    <t>uuid:8055699d-9232-4827-98d7-b42daa0a21b6</t>
  </si>
  <si>
    <t>8055699d-9232-4827-98d7-b42daa0a21b6</t>
  </si>
  <si>
    <t>China</t>
  </si>
  <si>
    <t>ProSichuan</t>
  </si>
  <si>
    <t>Alpabetisierung_CRDF</t>
  </si>
  <si>
    <t>sdafasf</t>
  </si>
  <si>
    <t>dsafgaf</t>
  </si>
  <si>
    <t>asfsadfsdaf</t>
  </si>
  <si>
    <t>I_60b_M_Anzahl_Sensibilisierte</t>
  </si>
  <si>
    <t>asdfadsf</t>
  </si>
  <si>
    <t>uuid:901f9419-72d2-40d7-b161-171d4a4b06d7</t>
  </si>
  <si>
    <t>901f9419-72d2-40d7-b161-171d4a4b06d7</t>
  </si>
  <si>
    <t>Guinea</t>
  </si>
  <si>
    <t>ActionVivre_Ost</t>
  </si>
  <si>
    <t>Berufsbildung_Englisch_IT</t>
  </si>
  <si>
    <t>I_60c_M_Anzahl_chirurgische_Eingriffe</t>
  </si>
  <si>
    <t>uuid:8e91bf26-77de-45f1-be48-3f5501003266</t>
  </si>
  <si>
    <t>8e91bf26-77de-45f1-be48-3f5501003266</t>
  </si>
  <si>
    <t>Indien</t>
  </si>
  <si>
    <t>ProEquip_Indien</t>
  </si>
  <si>
    <t>HFCI</t>
  </si>
  <si>
    <t>Verbesserung_der_Lebensgrundlagen</t>
  </si>
  <si>
    <t>sadfasf</t>
  </si>
  <si>
    <t>asdfsafd</t>
  </si>
  <si>
    <t>asdfsadf</t>
  </si>
  <si>
    <t>I_60a_L_Anzahl_Geschulte</t>
  </si>
  <si>
    <t>asdfgdfg</t>
  </si>
  <si>
    <t>uuid:08935f9d-df72-4684-887a-1a4c58d7ea5f</t>
  </si>
  <si>
    <t>08935f9d-df72-4684-887a-1a4c58d7ea5f</t>
  </si>
  <si>
    <t>Bri</t>
  </si>
  <si>
    <t>Kambodscha</t>
  </si>
  <si>
    <t>Lighthouse_Battambang</t>
  </si>
  <si>
    <t>Serving</t>
  </si>
  <si>
    <t>I_60c_L_Anzahl_Sensibilisierte</t>
  </si>
  <si>
    <t>uuid:bd278b4d-6f36-4131-99f5-7ac4c9075357</t>
  </si>
  <si>
    <t>bd278b4d-6f36-4131-99f5-7ac4c9075357</t>
  </si>
  <si>
    <t>Kamerun</t>
  </si>
  <si>
    <t>ProSalaam</t>
  </si>
  <si>
    <t>UEEC_generell</t>
  </si>
  <si>
    <t>I_60c_L_Anzahl_direkt_Begünstigte</t>
  </si>
  <si>
    <t>uuid:0263e7ca-ab4e-4be0-9e1f-34361a920944</t>
  </si>
  <si>
    <t>0263e7ca-ab4e-4be0-9e1f-34361a920944</t>
  </si>
  <si>
    <t>Nepal</t>
  </si>
  <si>
    <t>ProUdyami</t>
  </si>
  <si>
    <t>ProUdyami_TP</t>
  </si>
  <si>
    <t>asdfsdaf</t>
  </si>
  <si>
    <t>dfgdsfgdfg</t>
  </si>
  <si>
    <t>i_60b_T_Anzahl_Begunstigte_von_kirchlich</t>
  </si>
  <si>
    <t>fdsggdfg</t>
  </si>
  <si>
    <t>uuid:4e510f22-5e10-4035-b120-7043a83692d0</t>
  </si>
  <si>
    <t>4e510f22-5e10-4035-b120-7043a83692d0</t>
  </si>
  <si>
    <t>Sri_Lanka</t>
  </si>
  <si>
    <t>ProEquip_Sri_Lanka</t>
  </si>
  <si>
    <t>i_60c_T_Anzahl_Sensiblisierte_in_Kursen</t>
  </si>
  <si>
    <t>uuid:df6d1833-a298-4f4f-925b-aa14f944aa6e</t>
  </si>
  <si>
    <t>df6d1833-a298-4f4f-925b-aa14f944aa6e</t>
  </si>
  <si>
    <t>PO 4</t>
  </si>
  <si>
    <t>kirchlich_denominationell</t>
  </si>
  <si>
    <t>Azu</t>
  </si>
  <si>
    <t>Schulbildung_ProRadja</t>
  </si>
  <si>
    <t>vJj9F4q7PEpR6LzsN78Qak</t>
  </si>
  <si>
    <t>uuid:2a5a28b1-cdb9-4caa-b7ab-1319f513ad49</t>
  </si>
  <si>
    <t>2a5a28b1-cdb9-4caa-b7ab-1319f513ad49</t>
  </si>
  <si>
    <t>(Leer)</t>
  </si>
  <si>
    <t>vHAiJUKmt3UmVgVzZy5s57</t>
  </si>
  <si>
    <t>uuid:e4ebacaa-c63d-4cf1-a47d-28d762faaaf3</t>
  </si>
  <si>
    <t>e4ebacaa-c63d-4cf1-a47d-28d762faaaf3</t>
  </si>
  <si>
    <t>Kontaktarbeit_ProRadja</t>
  </si>
  <si>
    <t>uuid:8f8b728f-f426-4ca0-9e3c-6bf709f5616c</t>
  </si>
  <si>
    <t>8f8b728f-f426-4ca0-9e3c-6bf709f5616c</t>
  </si>
  <si>
    <t>asdfasdf</t>
  </si>
  <si>
    <t>uuid:5a875622-cf37-41f9-91ca-99e2b8a011dd</t>
  </si>
  <si>
    <t>5a875622-cf37-41f9-91ca-99e2b8a011dd</t>
  </si>
  <si>
    <t>Spaltenbeschriftungen</t>
  </si>
  <si>
    <t>FALSCH</t>
  </si>
  <si>
    <t>WAHR</t>
  </si>
  <si>
    <t>Anzahl von group_I_10b_Personelle_Abhaeng/Verantwortung_uebernommen</t>
  </si>
  <si>
    <t>I_20</t>
  </si>
  <si>
    <t>Summe von group_I_20_Verantw_uebernommen/Anzahl_Jungen_Maenner_I20</t>
  </si>
  <si>
    <t>Summe von group_I_20_Verantw_uebernommen/Anzahl_Maedchen_Frauen_I20</t>
  </si>
  <si>
    <t>Anzahl M</t>
  </si>
  <si>
    <t>Anzahl F</t>
  </si>
  <si>
    <t>I_60b_E_Anzahl_Berufsschuler</t>
  </si>
  <si>
    <t>vuaGzpUkdyEEJBdEAwN9cr</t>
  </si>
  <si>
    <t>uuid:3df573b0-e04e-48a9-b2fe-c0402b8d5557</t>
  </si>
  <si>
    <t>3df573b0-e04e-48a9-b2fe-c0402b8d5557</t>
  </si>
  <si>
    <t>uuid:2d92d24e-700e-4d8f-9515-d1a3af08d327</t>
  </si>
  <si>
    <t>2d92d24e-700e-4d8f-9515-d1a3af08d327</t>
  </si>
  <si>
    <t>Summe von group_I_61_geistlich_Beguensti/Anzahl_Jungen_Maenner_I61</t>
  </si>
  <si>
    <t>Summe von group_I_61_geistlich_Beguensti/Anzahl_Maedchen_Frauen_I61</t>
  </si>
  <si>
    <t>I_20_M</t>
  </si>
  <si>
    <t>I_21_M</t>
  </si>
  <si>
    <t>I_60a_M</t>
  </si>
  <si>
    <t>I_60b_M</t>
  </si>
  <si>
    <t>I_60c_M</t>
  </si>
  <si>
    <t>I_20_L</t>
  </si>
  <si>
    <t>I_21_L</t>
  </si>
  <si>
    <t>I_60a_L</t>
  </si>
  <si>
    <t>I_60b_L</t>
  </si>
  <si>
    <t>I_60c_L</t>
  </si>
  <si>
    <t>I_21</t>
  </si>
  <si>
    <t>I_60a_T</t>
  </si>
  <si>
    <t>I_60b_T</t>
  </si>
  <si>
    <t>I_60c_T</t>
  </si>
  <si>
    <t>I_41 I_60</t>
  </si>
  <si>
    <t>uuid:30e264ab-53a9-4984-8a3b-60f8101e9302</t>
  </si>
  <si>
    <t>30e264ab-53a9-4984-8a3b-60f8101e9302</t>
  </si>
  <si>
    <t>Fritz</t>
  </si>
  <si>
    <t>I_20 I_21</t>
  </si>
  <si>
    <t>VEränderung</t>
  </si>
  <si>
    <t>Das ist die Geschichte aus der Oase</t>
  </si>
  <si>
    <t>Gebet des Jabez-9_9_40.jpg</t>
  </si>
  <si>
    <t>uuid:0663eb28-8368-47cf-8343-41ef5f916238</t>
  </si>
  <si>
    <t>0663eb28-8368-47cf-8343-41ef5f916238</t>
  </si>
  <si>
    <t>asdfsdfsf</t>
  </si>
  <si>
    <t>Gebet des Jabez-9_45_25.jpg</t>
  </si>
  <si>
    <t>vwr4iQPi8VEHn7KpBHL8SV</t>
  </si>
  <si>
    <t>uuid:d3cc8d55-aa51-4367-a661-7935bb78fdd1</t>
  </si>
  <si>
    <t>d3cc8d55-aa51-4367-a661-7935bb78fdd1</t>
  </si>
  <si>
    <r>
      <t>Formation de base et professionnelle (E = É</t>
    </r>
    <r>
      <rPr>
        <b/>
        <sz val="14"/>
        <color theme="1"/>
        <rFont val="Calibri"/>
        <family val="2"/>
      </rPr>
      <t>ducation)</t>
    </r>
  </si>
  <si>
    <t>N° impact</t>
  </si>
  <si>
    <t>Impact 
(changement souhaité à long terme) &amp; ODD</t>
  </si>
  <si>
    <t>N° indic.</t>
  </si>
  <si>
    <t>Indicateur</t>
  </si>
  <si>
    <t>Référence 2019</t>
  </si>
  <si>
    <t>Description</t>
  </si>
  <si>
    <t>But 2021</t>
  </si>
  <si>
    <t>Valeur réelle 2021</t>
  </si>
  <si>
    <t>Remarques</t>
  </si>
  <si>
    <t>Mesures</t>
  </si>
  <si>
    <t>But 2022</t>
  </si>
  <si>
    <t>Valeur réelle 2022</t>
  </si>
  <si>
    <t>But 2023</t>
  </si>
  <si>
    <t>Valeur réelle 2023</t>
  </si>
  <si>
    <t>But 2024</t>
  </si>
  <si>
    <t>Valeur réelle 2024</t>
  </si>
  <si>
    <t>Changement chez…</t>
  </si>
  <si>
    <t>N° outcome</t>
  </si>
  <si>
    <t>Résultat  (outcome)
(changement à moyen terme qui peut être indirectement attribué à l'engagement)</t>
  </si>
  <si>
    <t>N° Indic.</t>
  </si>
  <si>
    <t>Changement chez l'organisation</t>
  </si>
  <si>
    <t>Des établissements d'enseignement performants, structurés et indépendants</t>
  </si>
  <si>
    <t xml:space="preserve">Augmentation relative du financement en fonds propres par rapport à l'année précédente (%) </t>
  </si>
  <si>
    <t xml:space="preserve">Augmentation de l'indépendance du personnel des établissements </t>
  </si>
  <si>
    <t xml:space="preserve">Nombre d'offres ou de services nouveaux ou optimisés </t>
  </si>
  <si>
    <t>Changement chez les bénéficiaires</t>
  </si>
  <si>
    <t>Des connaissances scolaires approfondies, des connaissances professionnelles et des compétences entrepreneuriales mènent à l'indépendance</t>
  </si>
  <si>
    <t>Nombre de bénéficiaires ayant acquis/assumé une autonomie, une responsabilité, de l'indépendance</t>
  </si>
  <si>
    <t>Les gens vivent en paix avec eux-mêmes, avec les autres et avec Dieu.</t>
  </si>
  <si>
    <t>Histoire d'une expérience ou d'un développement qui a transformé des vies</t>
  </si>
  <si>
    <t>Changement dans le système</t>
  </si>
  <si>
    <t>Le système éducatif est renforcé.</t>
  </si>
  <si>
    <t>Des changements de politique ou de comportement identifiés au niveau régional/national</t>
  </si>
  <si>
    <t>Organisation partenaire</t>
  </si>
  <si>
    <t>Partenariat actif avec des organisations locales reconnues</t>
  </si>
  <si>
    <t>Nombre et noms des organisations partenaires</t>
  </si>
  <si>
    <t>Collaborateurs</t>
  </si>
  <si>
    <t>Engagements court terme, long terme et d'experts, ainsi que collaborateurs locaux et échanges Sud-Sud et Sud-Nord</t>
  </si>
  <si>
    <t xml:space="preserve">Nombre d'engagements court terme, long terme, missions d'experts, collaborateurs locaux (co-)financés et échanges Sud-Sud et Sud-Nord (h/f) </t>
  </si>
  <si>
    <t>Développement de l'organisation, capacity building</t>
  </si>
  <si>
    <t>Amélioration organisationnelles ou structurelles dans les instituts de formation</t>
  </si>
  <si>
    <t xml:space="preserve">Nombre de changements organisationnels ou structurels initiés/appuyés </t>
  </si>
  <si>
    <t>Soutien à des responsables ou du personnel administratif</t>
  </si>
  <si>
    <t xml:space="preserve">Nombre de cours de formations continues/coachings réalisés ou rendus possibles </t>
  </si>
  <si>
    <t xml:space="preserve">Nombre de personnes ayant suivi une formation continue ou un coaching (personnel administratif h/f) </t>
  </si>
  <si>
    <t>Formation et formation continue d'enseignants ou formateurs</t>
  </si>
  <si>
    <t>Nombre de formations continues réalisées ou rendues possibles</t>
  </si>
  <si>
    <t xml:space="preserve">Nombre d'enseignants/formateurs formés, y c. formations continues h/f </t>
  </si>
  <si>
    <t>Soutien pour la création d'infrastructures ou équipement</t>
  </si>
  <si>
    <t>Participations à des projets d'infrastructure</t>
  </si>
  <si>
    <t>Frais d'investition (CHF)</t>
  </si>
  <si>
    <t>Développement/introduction de nouvelles méthodes de formation, d'outils, de matériel pédagogique</t>
  </si>
  <si>
    <t>Nombre et genre de méthodes, outils, matériel</t>
  </si>
  <si>
    <t>Développement dans la population cible, bénéficiaires directs</t>
  </si>
  <si>
    <t>Nombre de bénéficiaires directs</t>
  </si>
  <si>
    <t xml:space="preserve">Nombre d'élèves (h/f) </t>
  </si>
  <si>
    <t>Nombre d'apprentis (h/f)</t>
  </si>
  <si>
    <t>Nombre de bénéficiaires d'offre extra-scolaires (h/f)</t>
  </si>
  <si>
    <t>Les bénéficiaires apprennent les valeurs bibliques / la foi chrétienne</t>
  </si>
  <si>
    <t>Nombre de bénéficiaires encouragés dans la coexistence pacifique, dans leur relation avec Dieu ou dans leur développement propre (h/f)</t>
  </si>
  <si>
    <t>Impact du système</t>
  </si>
  <si>
    <t xml:space="preserve">Coopération ou coordination avec les structures éducatives de l'État et de l'Église </t>
  </si>
  <si>
    <t>Nombre de contacts officiels avec les autorités, responsable d'églises, ONG…</t>
  </si>
  <si>
    <t>N°</t>
  </si>
  <si>
    <t>Activités</t>
  </si>
  <si>
    <t>Ressources</t>
  </si>
  <si>
    <t>Valeur cible (exemple)</t>
  </si>
  <si>
    <t>Description (exemple/s)</t>
  </si>
  <si>
    <t xml:space="preserve">Augmentation annuelle du rapport entre les ressources propres et le budget total </t>
  </si>
  <si>
    <t>Oui/Non</t>
  </si>
  <si>
    <t>Le personnel local (cadres/formateurs/enseignants) assume des responsabilités supplémentaires.
Les expatriés remettent la responsabilité au personnel local.</t>
  </si>
  <si>
    <t>L'école professionnelle offre une nouvelle spécialisation.
L'école maternelle offre un nouveau soutien logopédique.</t>
  </si>
  <si>
    <t>Nombre de personnes finissant l'apprentissage et occupant un emploi rémunéré 6 mois après la fin de l'apprentissage. 
Nombre de jeunes en fin de scolarité qui ont obtenu une place à l'université.
…</t>
  </si>
  <si>
    <t>Récolter X histoires illustratives par an. 
Par exemple : une querelle dans la cour d'école se termine par la paix et non par la violence.</t>
  </si>
  <si>
    <t>Plusieurs villages de la région veulent également une école maternelle.
La  formation professionnelle duale est reconnue par l'État.
Le matériel didactique est utilisé dans les écoles de la région.
Changement dans l'éducation publique grâce au projet</t>
  </si>
  <si>
    <t>Organisation ou département d'une organisation plus importante (par exemple, le département santé d'une église nationale)
Organisation ou partie d'une organisation renforcée par la mission (sans partenariat financier)</t>
  </si>
  <si>
    <t>h : 4
f : 4</t>
  </si>
  <si>
    <t>2 longs termes
1 court terme 
1 engagement d'expert
4 collaborateurs locaux
Visites de suivi
Voyages de sensibilisation</t>
  </si>
  <si>
    <t>Création de statuts, introduction ou optimisation d'un système de comptabilité, introduction de descriptions de postes ou de contrats de travail, reconnaissance d'une institution par l'État, etc.</t>
  </si>
  <si>
    <t>Ateliers/séminaires d'au moins 1 jour, coaching régulier de personnel administratif
Les séances plus courtes peuvent être cumulées</t>
  </si>
  <si>
    <t>h : 5
f : 5</t>
  </si>
  <si>
    <t>Nombre de bénéficiaires / participants</t>
  </si>
  <si>
    <t>Ateliers/séminaires d'au moins 1 jour, coaching régulier d'enseignants ou formateurs
Les séances plus courtes peuvent être cumulées</t>
  </si>
  <si>
    <t>h : 7
f : 7</t>
  </si>
  <si>
    <t>Bâtiments
Travaux de rénovation/entretien
Alimentation en électricité et eau
Forage de puits
Appareils, machines, générateurs
Informatique : hard- et software
Services achetés
Médicaments, appareils de labo, instruments</t>
  </si>
  <si>
    <t>Coûts totaux dans le rapport annuel (CHF)</t>
  </si>
  <si>
    <t>Méthodes, programmes d'études, exercices, matériel de démonstration de nouvelles méthodes d'enseignement,…</t>
  </si>
  <si>
    <t>h : 500
f : 300</t>
  </si>
  <si>
    <t>Préscolaire, écoles maternelles, Pepe
Primaire et secondaire jusqu'au certificat</t>
  </si>
  <si>
    <t>m : 500
f : 300</t>
  </si>
  <si>
    <t>Apprentis, étudiants en écoles professionnelles</t>
  </si>
  <si>
    <t>m : 50
f : 30</t>
  </si>
  <si>
    <t xml:space="preserve">Sport, aide aux devoirs, alphabétisation </t>
  </si>
  <si>
    <t>Nombre de bénéficiaires qui apprennent les valeurs chrétiennes
Nombre de bénéficiaires qui apprennent la foi chrétienne</t>
  </si>
  <si>
    <t>Visite officielle au directeur de l'éducation, coopération avec le département de l'éducation de l'église</t>
  </si>
  <si>
    <t>Responsable</t>
  </si>
  <si>
    <t>h</t>
  </si>
  <si>
    <t>...chez l'organisation</t>
  </si>
  <si>
    <t>Des institutions de santé performantes, structurées et indépendantes</t>
  </si>
  <si>
    <t>De nouvelles méthodes de traitement sont proposées
Introduction de dossiers informatiques</t>
  </si>
  <si>
    <t>…chez les bénéficiaires</t>
  </si>
  <si>
    <t xml:space="preserve">Les gens sont en bonne ou meilleure santé physique et/ou psychique </t>
  </si>
  <si>
    <t>Nombre de bénéficiaires qui ont retrouvé ou amélioré leur santé</t>
  </si>
  <si>
    <t>Nombre de traitements réussis</t>
  </si>
  <si>
    <t>Les gens sont en paix avec eux-mêmes, les autres et Dieu</t>
  </si>
  <si>
    <t>Récolter X histoires illustratives par an, si possible qui reflètent I_20</t>
  </si>
  <si>
    <t>…dans le système</t>
  </si>
  <si>
    <t>Système de santé renforcé</t>
  </si>
  <si>
    <t xml:space="preserve">Collaboration avec le ministère de la santé (campagnes de vaccination ou de sensibilisation)
</t>
  </si>
  <si>
    <t>Engagement pour…</t>
  </si>
  <si>
    <t>N° output</t>
  </si>
  <si>
    <t>Output 
(Changement à court terme grâce au personnel de SAM global, y compris les collaborateurs locaux)</t>
  </si>
  <si>
    <t>Amélioration organisationnelles ou structurelles dans les institutions de santé</t>
  </si>
  <si>
    <t>Formation et formation continue du personnel de santé</t>
  </si>
  <si>
    <t xml:space="preserve">Nombre de personnes formées dans le domaine de la santé, y c. formation continue (h/f) </t>
  </si>
  <si>
    <t xml:space="preserve">Participation à des infrastructures de projets </t>
  </si>
  <si>
    <t>Développement/introduction de nouvelles méthodes, traitements, mesures</t>
  </si>
  <si>
    <t>Nombre de nouvelles méthodes, traitement, mesures</t>
  </si>
  <si>
    <t>Introduction de la mesure de la charge virale, introduction de nouvelles mesures d'hygiène, mise en place d'un programme pour les bébés malnutris, étude sur le HIV, la tuberculose, etc.</t>
  </si>
  <si>
    <t>Nombre de consultations / visites de réadaptation (h/f)</t>
  </si>
  <si>
    <t>Consultations de soins : chaque consultation compte, y compris celles de suivi/contrôle. 
Naissances : comptent comme deux consultations. 
Vaccinations : chaque personne vaccinée. Les vaccinations nécessitant plusieurs doses à des jours différents sont comptées individuellement. Lèpre, tuberculose, HIV/sida : la consultation initiale et les consultations ultérieures avec examens/discussions comptent individuellement. Seuls les médicaments délivrés sans contact avec un médecin (par exemple lors d'un traitement intensif contre la tuberculose) ne comptent pas comme une consultation. 
Physiothérapie/changement de pansements : chaque consultation compte. 
Visites de réadaptation : chaque client visité et tout parent (enfant) soutenu compte individuellement.
Visites chez le dentiste : chaque visite compte individuellement.</t>
  </si>
  <si>
    <t>Nombre d'événements de sensibilisation ou préventions (h/f)</t>
  </si>
  <si>
    <t>Personnes suivant des cours/campagnes ponctuels. Éducation sanitaire régulière dans les hôpitaux et les centres : nombre moyen d'auditeurs x nombre d'événements</t>
  </si>
  <si>
    <t>Nombre d'interventions chirurgicales (h/f)</t>
  </si>
  <si>
    <t>h : 50
f : 30</t>
  </si>
  <si>
    <t>Opérations de la cataracte, césariennes, ... dans les établissements de santé. 
Le nettoyage ambulatoire des plaies, etc. compte comme une consultation.</t>
  </si>
  <si>
    <t>Visite officielle ou d'affaires au directeur de la santé, contact avec le ministère, coopération avec le département de la santé de l'église</t>
  </si>
  <si>
    <t>Travail médical et prévention (M=Médecine)</t>
  </si>
  <si>
    <t>Amélioration des conditions de vie (L)</t>
  </si>
  <si>
    <t>Des institutions performantes, structurées et indépendantes</t>
  </si>
  <si>
    <t>Ouverture d'une nouvelle filiale/un nouvel avant-poste
Introduction de la comptabilité électronique
Introduction d'un système d'assurance qualité</t>
  </si>
  <si>
    <t xml:space="preserve">Les bénéficiaires sont indépendants, ils prennent des responsabilités (dans leurs familles, églises, la société) et font preuve d'initiative. </t>
  </si>
  <si>
    <t>Nombre de bénéficiaires ayant acquis/assumé de l'autonomie, des responsabilités, de l'indépendance</t>
  </si>
  <si>
    <t>Nombre de micro-entreprises nouvellement créées, nombre de nouveaux groupements/banques de céréales/initiatives...
Nombre de bénéficiaires appliquant des mesures d'amélioration des sols</t>
  </si>
  <si>
    <t>Système économique renforcé</t>
  </si>
  <si>
    <t>Introduction de méthodes agricoles dans d'autres régions
La loi contre les MGF est respectée dans tout le pays</t>
  </si>
  <si>
    <t>Amélioration organisationnelles ou structurelles dans les institutions / organisations partenaires</t>
  </si>
  <si>
    <t>Formation et formation continue de spécialistes</t>
  </si>
  <si>
    <t xml:space="preserve">Nombre de spécialistes formés,   y c. formation continue (h/f) </t>
  </si>
  <si>
    <t>Agronomes, responsables de cours, formateurs, spécialistes d'activités de sensibilisation…</t>
  </si>
  <si>
    <t>Nouveaux outils, méthodes, technologies, supports pédagogiques...</t>
  </si>
  <si>
    <t>Développement de la motoculteur, introduction du compostage, préparation de matériel de cours pour la sensibilisation aux MGF, préparation d'un guide pour les micro-entreprises…</t>
  </si>
  <si>
    <t>Nombre de personnes formées, y c. formation continue (h/f)</t>
  </si>
  <si>
    <t>Cours d'agronomie (qualité des sols, élevage de poulets, ...) 
Formation en micro-entreprises
Animateurs de cours pour la sensibilisation contre les mutilations génitales
Cours d'artisanat</t>
  </si>
  <si>
    <t>Nombre de personnes sensibilisées (h/f)</t>
  </si>
  <si>
    <t xml:space="preserve">Hygiène, nutrition, santé, MGF </t>
  </si>
  <si>
    <t xml:space="preserve">Nombre de bénéficiaires direct (h/f) </t>
  </si>
  <si>
    <t>Bénéficiaires de semences (Agro), logement (Lighthouse), microcrédit, chirurgie réparatrice pour MGF....</t>
  </si>
  <si>
    <t>Visite officielle au directeur de l'agriculture, collaboration avec l'église nationale</t>
  </si>
  <si>
    <t>Formation théologique et pratique (T=Théologie)</t>
  </si>
  <si>
    <t>Nouveaux cursus de formation/diplômes à l'école biblique
L'église propose de nouvelles offres</t>
  </si>
  <si>
    <t>Des gens sont capables de prendre des responsabilités dans l'église et la société</t>
  </si>
  <si>
    <t>Nombre de bénéficiaires qui prennent des responsabilités dans l'église et la société</t>
  </si>
  <si>
    <t>Nombre de nouveaux pasteurs
Nombre de nouveaux collaborateurs transculturels/de faiseurs de tentes</t>
  </si>
  <si>
    <t>Église et société renforcées</t>
  </si>
  <si>
    <t>L'Église met en œuvre des initiatives locales au niveau national.
Les activités de l'Église sont reconnues par les autorités publiques comme promouvant la paix ou étant utiles à la société.</t>
  </si>
  <si>
    <t>Formation et formation continue de responsables et enseignants</t>
  </si>
  <si>
    <t>Nombre de responsables et enseignants formés, y c. formation continue (h/f)</t>
  </si>
  <si>
    <t>Responsables jeunesse, responsables d'équipes</t>
  </si>
  <si>
    <t>Matériel didactique</t>
  </si>
  <si>
    <t>Nombre de pasteurs/théologient formés, y c. formation continue (h/f) [E7]</t>
  </si>
  <si>
    <t xml:space="preserve">Etudiants en écoles bibliques et instituts de théologie </t>
  </si>
  <si>
    <t>Nombre des bénéficiaires d'offres faites par les églises (h/f) (régulier)</t>
  </si>
  <si>
    <t>Offres régulières 
Nombre moyen d'enfants à l'école du dimanche, dans les clubs d'enfants, les groupes de jeunes, les cultes de jeune à Lighthouse, etc. (offres régulières),
Nombre de bénéficiaires de services religieux dans les prisons ou les bidonvilles, de visites à domicile...</t>
  </si>
  <si>
    <t>Nombre de personnes sensibilisées par des cours, séminaires… (h/f) (ponctuel)</t>
  </si>
  <si>
    <t>Evénements ponctuels
Nombre de participants à des cours, formations continues, congrès, événements particuliers</t>
  </si>
  <si>
    <t>Visite officielle au président de l'église, collaboration avec le département formation de l'église</t>
  </si>
  <si>
    <t>I_21 Histoires</t>
  </si>
  <si>
    <t>Nombre de  "Oui"</t>
  </si>
  <si>
    <t>Nombre de "Oui"</t>
  </si>
  <si>
    <t>group_I_21_lebensv_Entwicklung/zweites_Photo</t>
  </si>
  <si>
    <t>I_21 I_60</t>
  </si>
  <si>
    <t>Histoire du Burkina</t>
  </si>
  <si>
    <t>I_60a_T_Anzahl_Aus_bzw_Weitergebildete</t>
  </si>
  <si>
    <t>uuid:f459e314-a313-4324-a135-2b69e22f1bf9</t>
  </si>
  <si>
    <t>f459e314-a313-4324-a135-2b69e22f1bf9</t>
  </si>
  <si>
    <t>safasfsdafdf</t>
  </si>
  <si>
    <t>AZU1-10_16_56.jpg</t>
  </si>
  <si>
    <t>uuid:f39d955d-6758-43a0-be4b-f29d1d90e38a</t>
  </si>
  <si>
    <t>f39d955d-6758-43a0-be4b-f29d1d90e38a</t>
  </si>
  <si>
    <t>CCS</t>
  </si>
  <si>
    <t>TP_CCS</t>
  </si>
  <si>
    <t>Story aus Sri Lanka</t>
  </si>
  <si>
    <t>20200125_175953-11_8_6.jpg</t>
  </si>
  <si>
    <t>20200125_160423-11_8_34.jpg</t>
  </si>
  <si>
    <t>v5KpTtuBiFkLQvVRGHH9Ac</t>
  </si>
  <si>
    <t>uuid:2884a7e9-a847-402b-8fb2-aaf73ae75599</t>
  </si>
  <si>
    <t>2884a7e9-a847-402b-8fb2-aaf73ae75599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</si>
</sst>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0.0%"/>
    <numFmt numFmtId="165" formatCode="_ [$CHF-807]\ * #,##0_ ;_ [$CHF-807]\ * \-#,##0_ ;_ [$CHF-807]\ * &quot;-&quot;??_ ;_ @_ "/>
  </numFmts>
  <fonts count="14">
    <font>
      <sz val="11"/>
      <color theme="1"/>
      <name val="Calibri"/>
      <family val="2"/>
      <scheme val="minor"/>
    </font>
    <font>
      <u/>
      <sz val="11"/>
      <color theme="10"/>
      <name val="Calibri"/>
      <family val="2"/>
      <scheme val="minor"/>
    </font>
    <font>
      <sz val="11"/>
      <color theme="1"/>
      <name val="Calibri"/>
      <family val="2"/>
      <scheme val="minor"/>
    </font>
    <font>
      <b/>
      <sz val="14"/>
      <color theme="1"/>
      <name val="Calibri"/>
      <family val="2"/>
      <scheme val="minor"/>
    </font>
    <font>
      <sz val="12"/>
      <color theme="1"/>
      <name val="Calibri"/>
      <family val="2"/>
      <scheme val="minor"/>
    </font>
    <font>
      <b/>
      <sz val="12"/>
      <color rgb="FFFFFFFF"/>
      <name val="Myriad Pro"/>
      <family val="2"/>
    </font>
    <font>
      <sz val="12"/>
      <color theme="1"/>
      <name val="Myriad Pro"/>
      <family val="2"/>
    </font>
    <font>
      <b/>
      <sz val="12"/>
      <color theme="1"/>
      <name val="Calibri"/>
      <family val="2"/>
      <scheme val="minor"/>
    </font>
    <font>
      <b/>
      <sz val="12"/>
      <color theme="0"/>
      <name val="Myriad Pro"/>
      <family val="2"/>
    </font>
    <font>
      <b/>
      <sz val="12"/>
      <name val="Myriad Pro"/>
      <family val="2"/>
    </font>
    <font>
      <b/>
      <sz val="9"/>
      <color indexed="81"/>
      <name val="Segoe UI"/>
      <family val="2"/>
    </font>
    <font>
      <sz val="9"/>
      <color indexed="81"/>
      <name val="Segoe UI"/>
      <family val="2"/>
    </font>
    <font>
      <sz val="10"/>
      <color theme="1"/>
      <name val="Myriad Pro"/>
      <family val="2"/>
    </font>
    <font>
      <b/>
      <sz val="14"/>
      <color theme="1"/>
      <name val="Calibri"/>
      <family val="2"/>
    </font>
  </fonts>
  <fills count="29">
    <fill>
      <patternFill patternType="none"/>
    </fill>
    <fill>
      <patternFill patternType="gray125"/>
    </fill>
    <fill>
      <patternFill patternType="solid">
        <fgColor rgb="FF000066"/>
        <bgColor indexed="64"/>
      </patternFill>
    </fill>
    <fill>
      <patternFill patternType="solid">
        <fgColor theme="5" tint="0.39997558519241921"/>
        <bgColor indexed="64"/>
      </patternFill>
    </fill>
    <fill>
      <patternFill patternType="solid">
        <fgColor theme="1"/>
        <bgColor indexed="64"/>
      </patternFill>
    </fill>
    <fill>
      <patternFill patternType="solid">
        <fgColor rgb="FF3366FF"/>
        <bgColor indexed="64"/>
      </patternFill>
    </fill>
    <fill>
      <patternFill patternType="solid">
        <fgColor theme="7" tint="0.79998168889431442"/>
        <bgColor indexed="64"/>
      </patternFill>
    </fill>
    <fill>
      <patternFill patternType="solid">
        <fgColor rgb="FF6699FF"/>
        <bgColor indexed="64"/>
      </patternFill>
    </fill>
    <fill>
      <patternFill patternType="solid">
        <fgColor theme="0" tint="-0.14999847407452621"/>
        <bgColor indexed="64"/>
      </patternFill>
    </fill>
    <fill>
      <patternFill patternType="solid">
        <fgColor rgb="FF99CCFF"/>
        <bgColor indexed="64"/>
      </patternFill>
    </fill>
    <fill>
      <patternFill patternType="solid">
        <fgColor rgb="FFCCECFF"/>
        <bgColor indexed="64"/>
      </patternFill>
    </fill>
    <fill>
      <patternFill patternType="solid">
        <fgColor rgb="FFFFFF00"/>
        <bgColor indexed="64"/>
      </patternFill>
    </fill>
    <fill>
      <patternFill patternType="solid">
        <fgColor theme="5" tint="0.79998168889431442"/>
        <bgColor indexed="64"/>
      </patternFill>
    </fill>
    <fill>
      <patternFill patternType="solid">
        <fgColor rgb="FFC00000"/>
        <bgColor indexed="64"/>
      </patternFill>
    </fill>
    <fill>
      <patternFill patternType="solid">
        <fgColor rgb="FFFF5050"/>
        <bgColor indexed="64"/>
      </patternFill>
    </fill>
    <fill>
      <patternFill patternType="solid">
        <fgColor rgb="FFFF7C80"/>
        <bgColor indexed="64"/>
      </patternFill>
    </fill>
    <fill>
      <patternFill patternType="solid">
        <fgColor rgb="FFFF9999"/>
        <bgColor indexed="64"/>
      </patternFill>
    </fill>
    <fill>
      <patternFill patternType="solid">
        <fgColor rgb="FFFFCCCC"/>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CB7D0B"/>
        <bgColor indexed="64"/>
      </patternFill>
    </fill>
    <fill>
      <patternFill patternType="solid">
        <fgColor rgb="FFF29B1A"/>
        <bgColor indexed="64"/>
      </patternFill>
    </fill>
    <fill>
      <patternFill patternType="solid">
        <fgColor rgb="FFF7C171"/>
        <bgColor indexed="64"/>
      </patternFill>
    </fill>
    <fill>
      <patternFill patternType="solid">
        <fgColor rgb="FFFBD7A3"/>
        <bgColor indexed="64"/>
      </patternFill>
    </fill>
    <fill>
      <patternFill patternType="solid">
        <fgColor rgb="FFFDECD3"/>
        <bgColor indexed="64"/>
      </patternFill>
    </fill>
    <fill>
      <patternFill patternType="solid">
        <fgColor theme="0" tint="-0.249977111117893"/>
        <bgColor indexed="64"/>
      </patternFill>
    </fill>
  </fills>
  <borders count="19">
    <border>
      <left/>
      <right/>
      <top/>
      <bottom/>
      <diagonal/>
    </border>
    <border>
      <left style="medium">
        <color theme="0"/>
      </left>
      <right/>
      <top style="medium">
        <color theme="0"/>
      </top>
      <bottom style="medium">
        <color theme="0"/>
      </bottom>
      <diagonal/>
    </border>
    <border>
      <left style="medium">
        <color theme="0"/>
      </left>
      <right style="medium">
        <color theme="0"/>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auto="1"/>
      </right>
      <top style="medium">
        <color theme="0"/>
      </top>
      <bottom style="medium">
        <color auto="1"/>
      </bottom>
      <diagonal/>
    </border>
    <border>
      <left style="medium">
        <color auto="1"/>
      </left>
      <right style="medium">
        <color auto="1"/>
      </right>
      <top style="medium">
        <color theme="0"/>
      </top>
      <bottom style="medium">
        <color auto="1"/>
      </bottom>
      <diagonal/>
    </border>
    <border>
      <left style="medium">
        <color auto="1"/>
      </left>
      <right style="medium">
        <color theme="0"/>
      </right>
      <top style="medium">
        <color theme="0"/>
      </top>
      <bottom style="medium">
        <color auto="1"/>
      </bottom>
      <diagonal/>
    </border>
    <border>
      <left style="medium">
        <color theme="0"/>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theme="0"/>
      </right>
      <top style="medium">
        <color auto="1"/>
      </top>
      <bottom style="medium">
        <color auto="1"/>
      </bottom>
      <diagonal/>
    </border>
    <border>
      <left style="medium">
        <color theme="0"/>
      </left>
      <right/>
      <top style="medium">
        <color auto="1"/>
      </top>
      <bottom style="medium">
        <color auto="1"/>
      </bottom>
      <diagonal/>
    </border>
    <border>
      <left/>
      <right style="medium">
        <color auto="1"/>
      </right>
      <top style="medium">
        <color auto="1"/>
      </top>
      <bottom style="medium">
        <color auto="1"/>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style="medium">
        <color theme="0"/>
      </left>
      <right style="medium">
        <color auto="1"/>
      </right>
      <top style="medium">
        <color auto="1"/>
      </top>
      <bottom style="medium">
        <color theme="0"/>
      </bottom>
      <diagonal/>
    </border>
    <border>
      <left style="medium">
        <color auto="1"/>
      </left>
      <right style="medium">
        <color auto="1"/>
      </right>
      <top style="medium">
        <color auto="1"/>
      </top>
      <bottom style="medium">
        <color theme="0"/>
      </bottom>
      <diagonal/>
    </border>
    <border>
      <left style="medium">
        <color auto="1"/>
      </left>
      <right style="medium">
        <color theme="0"/>
      </right>
      <top style="medium">
        <color auto="1"/>
      </top>
      <bottom style="medium">
        <color theme="0"/>
      </bottom>
      <diagonal/>
    </border>
    <border>
      <left/>
      <right style="medium">
        <color rgb="FFFFFFFF"/>
      </right>
      <top style="medium">
        <color rgb="FFFFFFFF"/>
      </top>
      <bottom style="medium">
        <color rgb="FFFFFFFF"/>
      </bottom>
      <diagonal/>
    </border>
  </borders>
  <cellStyleXfs count="4">
    <xf numFmtId="0" fontId="0" fillId="0" borderId="0"/>
    <xf numFmtId="0" fontId="1" fillId="0" borderId="0" applyNumberFormat="0" applyFill="0" applyBorder="0" applyAlignment="0" applyProtection="0"/>
    <xf numFmtId="43" fontId="2" fillId="0" borderId="0" applyFont="0" applyFill="0" applyBorder="0" applyAlignment="0" applyProtection="0"/>
    <xf numFmtId="9" fontId="2" fillId="0" borderId="0" applyFont="0" applyFill="0" applyBorder="0" applyAlignment="0" applyProtection="0"/>
  </cellStyleXfs>
  <cellXfs count="244">
    <xf numFmtId="0" fontId="0" fillId="0" borderId="0" xfId="0"/>
    <xf numFmtId="22" fontId="0" fillId="0" borderId="0" xfId="0" applyNumberFormat="1"/>
    <xf numFmtId="0" fontId="0" fillId="0" borderId="0" xfId="0" applyNumberFormat="1"/>
    <xf numFmtId="0" fontId="3" fillId="0" borderId="0" xfId="0" applyFont="1"/>
    <xf numFmtId="0" fontId="4" fillId="0" borderId="0" xfId="0" applyFont="1"/>
    <xf numFmtId="0" fontId="4" fillId="0" borderId="0" xfId="0" applyFont="1" applyAlignment="1">
      <alignment horizontal="left" vertical="center"/>
    </xf>
    <xf numFmtId="0" fontId="5" fillId="2" borderId="1" xfId="0" applyFont="1" applyFill="1" applyBorder="1" applyAlignment="1">
      <alignment vertical="center" wrapText="1"/>
    </xf>
    <xf numFmtId="0" fontId="6" fillId="3" borderId="2" xfId="0" applyFont="1" applyFill="1" applyBorder="1" applyAlignment="1">
      <alignment vertical="center" wrapText="1"/>
    </xf>
    <xf numFmtId="0" fontId="7" fillId="0" borderId="0" xfId="0" applyFont="1"/>
    <xf numFmtId="0" fontId="8" fillId="2" borderId="2" xfId="0" applyFont="1" applyFill="1" applyBorder="1" applyAlignment="1">
      <alignment vertical="center" wrapText="1"/>
    </xf>
    <xf numFmtId="0" fontId="5" fillId="2" borderId="2" xfId="0" applyFont="1" applyFill="1" applyBorder="1" applyAlignment="1">
      <alignment vertical="center" wrapText="1"/>
    </xf>
    <xf numFmtId="0" fontId="5" fillId="2" borderId="2"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9" fillId="5" borderId="2" xfId="0" applyFont="1" applyFill="1" applyBorder="1" applyAlignment="1">
      <alignment vertical="center" wrapText="1"/>
    </xf>
    <xf numFmtId="0" fontId="6" fillId="5" borderId="2" xfId="0" applyFont="1" applyFill="1" applyBorder="1" applyAlignment="1">
      <alignment vertical="center" wrapText="1"/>
    </xf>
    <xf numFmtId="0" fontId="6" fillId="6" borderId="2" xfId="0" applyFont="1" applyFill="1" applyBorder="1" applyAlignment="1">
      <alignment vertical="center" wrapText="1"/>
    </xf>
    <xf numFmtId="0" fontId="6" fillId="5" borderId="2" xfId="0" applyFont="1" applyFill="1" applyBorder="1" applyAlignment="1">
      <alignment horizontal="left" vertical="center" wrapText="1"/>
    </xf>
    <xf numFmtId="0" fontId="6" fillId="7" borderId="2" xfId="0" applyFont="1" applyFill="1" applyBorder="1" applyAlignment="1">
      <alignment horizontal="left" vertical="center" wrapText="1"/>
    </xf>
    <xf numFmtId="0" fontId="6" fillId="7" borderId="2" xfId="0" applyFont="1" applyFill="1" applyBorder="1" applyAlignment="1">
      <alignment vertical="center" wrapText="1"/>
    </xf>
    <xf numFmtId="9" fontId="6" fillId="7" borderId="2" xfId="0" applyNumberFormat="1" applyFont="1" applyFill="1" applyBorder="1" applyAlignment="1">
      <alignment horizontal="center" vertical="center" wrapText="1"/>
    </xf>
    <xf numFmtId="9" fontId="6" fillId="7" borderId="2" xfId="0" applyNumberFormat="1" applyFont="1" applyFill="1" applyBorder="1" applyAlignment="1">
      <alignment horizontal="left" vertical="center" wrapText="1"/>
    </xf>
    <xf numFmtId="0" fontId="6" fillId="7" borderId="2" xfId="0" applyFont="1" applyFill="1" applyBorder="1" applyAlignment="1">
      <alignment horizontal="center" vertical="center" wrapText="1"/>
    </xf>
    <xf numFmtId="0" fontId="6" fillId="9" borderId="2" xfId="0" applyFont="1" applyFill="1" applyBorder="1" applyAlignment="1">
      <alignment vertical="center" wrapText="1"/>
    </xf>
    <xf numFmtId="0" fontId="6" fillId="9" borderId="2" xfId="0" applyFont="1" applyFill="1" applyBorder="1" applyAlignment="1">
      <alignment horizontal="left" vertical="center" wrapText="1"/>
    </xf>
    <xf numFmtId="0" fontId="6" fillId="8" borderId="7" xfId="0" applyFont="1" applyFill="1" applyBorder="1" applyAlignment="1">
      <alignment vertical="center" wrapText="1"/>
    </xf>
    <xf numFmtId="0" fontId="6" fillId="8" borderId="8" xfId="0" applyFont="1" applyFill="1" applyBorder="1" applyAlignment="1">
      <alignment vertical="center" wrapText="1"/>
    </xf>
    <xf numFmtId="0" fontId="6" fillId="9" borderId="2" xfId="0" applyFont="1" applyFill="1" applyBorder="1" applyAlignment="1">
      <alignment horizontal="center" vertical="center" wrapText="1"/>
    </xf>
    <xf numFmtId="0" fontId="9" fillId="10" borderId="2" xfId="0" applyFont="1" applyFill="1" applyBorder="1" applyAlignment="1">
      <alignment vertical="center" wrapText="1"/>
    </xf>
    <xf numFmtId="0" fontId="6" fillId="10" borderId="2" xfId="0" applyFont="1" applyFill="1" applyBorder="1" applyAlignment="1">
      <alignment vertical="center" wrapText="1"/>
    </xf>
    <xf numFmtId="0" fontId="6" fillId="10" borderId="2" xfId="0" applyFont="1" applyFill="1" applyBorder="1" applyAlignment="1">
      <alignment horizontal="left" vertical="center" wrapText="1"/>
    </xf>
    <xf numFmtId="0" fontId="7" fillId="0" borderId="2" xfId="0" applyFont="1" applyBorder="1"/>
    <xf numFmtId="0" fontId="4" fillId="0" borderId="2" xfId="0" applyFont="1" applyBorder="1"/>
    <xf numFmtId="0" fontId="4" fillId="0" borderId="2" xfId="0" applyFont="1" applyBorder="1" applyAlignment="1">
      <alignment horizontal="left" vertical="center"/>
    </xf>
    <xf numFmtId="0" fontId="6" fillId="10"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8" borderId="7" xfId="0" applyFont="1" applyFill="1" applyBorder="1" applyAlignment="1">
      <alignment horizontal="left" vertical="center" wrapText="1"/>
    </xf>
    <xf numFmtId="0" fontId="6" fillId="8" borderId="8" xfId="0" applyFont="1" applyFill="1" applyBorder="1" applyAlignment="1">
      <alignment horizontal="left" vertical="center" wrapText="1"/>
    </xf>
    <xf numFmtId="0" fontId="0" fillId="0" borderId="0" xfId="0" pivotButton="1"/>
    <xf numFmtId="0" fontId="0" fillId="0" borderId="0" xfId="0" applyAlignment="1">
      <alignment horizontal="left"/>
    </xf>
    <xf numFmtId="0" fontId="0" fillId="0" borderId="0" xfId="0" applyAlignment="1">
      <alignment wrapText="1"/>
    </xf>
    <xf numFmtId="0" fontId="0" fillId="11" borderId="0" xfId="0" applyFill="1"/>
    <xf numFmtId="0" fontId="1" fillId="0" borderId="0" xfId="1" applyFill="1"/>
    <xf numFmtId="0" fontId="0" fillId="12" borderId="0" xfId="0" applyFill="1" applyAlignment="1">
      <alignment horizontal="right"/>
    </xf>
    <xf numFmtId="0" fontId="12" fillId="3" borderId="2" xfId="0" applyFont="1" applyFill="1" applyBorder="1" applyAlignment="1">
      <alignment vertical="center" wrapText="1"/>
    </xf>
    <xf numFmtId="0" fontId="0" fillId="0" borderId="0" xfId="0" applyAlignment="1">
      <alignment horizontal="left" indent="1"/>
    </xf>
    <xf numFmtId="0" fontId="5" fillId="13" borderId="2" xfId="0" applyFont="1" applyFill="1" applyBorder="1" applyAlignment="1">
      <alignment vertical="center" wrapText="1"/>
    </xf>
    <xf numFmtId="0" fontId="5" fillId="13" borderId="2" xfId="0" applyFont="1" applyFill="1" applyBorder="1" applyAlignment="1">
      <alignment horizontal="left" vertical="center" wrapText="1"/>
    </xf>
    <xf numFmtId="0" fontId="9" fillId="14" borderId="2" xfId="0" applyFont="1" applyFill="1" applyBorder="1" applyAlignment="1">
      <alignment vertical="center" wrapText="1"/>
    </xf>
    <xf numFmtId="0" fontId="6" fillId="14" borderId="2" xfId="0" applyFont="1" applyFill="1" applyBorder="1" applyAlignment="1">
      <alignment vertical="center" wrapText="1"/>
    </xf>
    <xf numFmtId="0" fontId="6" fillId="14" borderId="2" xfId="0" applyFont="1" applyFill="1" applyBorder="1" applyAlignment="1">
      <alignment horizontal="left" vertical="center" wrapText="1"/>
    </xf>
    <xf numFmtId="0" fontId="5" fillId="13" borderId="8" xfId="0" applyFont="1" applyFill="1" applyBorder="1" applyAlignment="1">
      <alignment horizontal="left" vertical="center" wrapText="1"/>
    </xf>
    <xf numFmtId="0" fontId="5" fillId="13" borderId="9" xfId="0" applyFont="1" applyFill="1" applyBorder="1" applyAlignment="1">
      <alignment horizontal="left" vertical="center" wrapText="1"/>
    </xf>
    <xf numFmtId="0" fontId="8" fillId="13" borderId="2" xfId="0" applyFont="1" applyFill="1" applyBorder="1" applyAlignment="1">
      <alignment vertical="center" wrapText="1"/>
    </xf>
    <xf numFmtId="0" fontId="6" fillId="15" borderId="2" xfId="0" applyFont="1" applyFill="1" applyBorder="1" applyAlignment="1">
      <alignment vertical="center" wrapText="1"/>
    </xf>
    <xf numFmtId="0" fontId="6" fillId="15" borderId="2" xfId="0" applyFont="1" applyFill="1" applyBorder="1" applyAlignment="1">
      <alignment horizontal="left" vertical="center" wrapText="1"/>
    </xf>
    <xf numFmtId="9" fontId="6" fillId="15" borderId="2" xfId="0" applyNumberFormat="1" applyFont="1" applyFill="1" applyBorder="1" applyAlignment="1">
      <alignment horizontal="center" vertical="center" wrapText="1"/>
    </xf>
    <xf numFmtId="9" fontId="6" fillId="15" borderId="2" xfId="0" applyNumberFormat="1" applyFont="1" applyFill="1" applyBorder="1" applyAlignment="1">
      <alignment horizontal="left" vertical="center" wrapText="1"/>
    </xf>
    <xf numFmtId="0" fontId="6" fillId="15" borderId="2" xfId="0" applyFont="1" applyFill="1" applyBorder="1" applyAlignment="1">
      <alignment horizontal="center" vertical="center" wrapText="1"/>
    </xf>
    <xf numFmtId="0" fontId="6" fillId="16" borderId="2" xfId="0" applyFont="1" applyFill="1" applyBorder="1" applyAlignment="1">
      <alignment vertical="center" wrapText="1"/>
    </xf>
    <xf numFmtId="0" fontId="6" fillId="16" borderId="2" xfId="0" applyFont="1" applyFill="1" applyBorder="1" applyAlignment="1">
      <alignment horizontal="left" vertical="center" wrapText="1"/>
    </xf>
    <xf numFmtId="0" fontId="6" fillId="16" borderId="2" xfId="0" applyFont="1" applyFill="1" applyBorder="1" applyAlignment="1">
      <alignment horizontal="center" vertical="center" wrapText="1"/>
    </xf>
    <xf numFmtId="0" fontId="9" fillId="17" borderId="2" xfId="0" applyFont="1" applyFill="1" applyBorder="1" applyAlignment="1">
      <alignment vertical="center" wrapText="1"/>
    </xf>
    <xf numFmtId="0" fontId="6" fillId="17" borderId="2" xfId="0" applyFont="1" applyFill="1" applyBorder="1" applyAlignment="1">
      <alignment vertical="center" wrapText="1"/>
    </xf>
    <xf numFmtId="0" fontId="6" fillId="17" borderId="2" xfId="0" applyFont="1" applyFill="1" applyBorder="1" applyAlignment="1">
      <alignment horizontal="left" vertical="center" wrapText="1"/>
    </xf>
    <xf numFmtId="0" fontId="6" fillId="17" borderId="2" xfId="0" applyFont="1" applyFill="1" applyBorder="1" applyAlignment="1">
      <alignment horizontal="center" vertical="center" wrapText="1"/>
    </xf>
    <xf numFmtId="0" fontId="6" fillId="14" borderId="2" xfId="0" applyFont="1" applyFill="1" applyBorder="1" applyAlignment="1">
      <alignment horizontal="center" vertical="center" wrapText="1"/>
    </xf>
    <xf numFmtId="0" fontId="12" fillId="16" borderId="2" xfId="0" applyFont="1" applyFill="1" applyBorder="1" applyAlignment="1">
      <alignment vertical="center" wrapText="1"/>
    </xf>
    <xf numFmtId="0" fontId="5" fillId="13" borderId="2" xfId="0" applyFont="1" applyFill="1" applyBorder="1" applyAlignment="1">
      <alignment horizontal="center" vertical="center" wrapText="1"/>
    </xf>
    <xf numFmtId="0" fontId="5" fillId="13" borderId="7" xfId="0" applyFont="1" applyFill="1" applyBorder="1" applyAlignment="1">
      <alignment horizontal="center" vertical="center" wrapText="1"/>
    </xf>
    <xf numFmtId="0" fontId="5" fillId="13" borderId="8" xfId="0" applyFont="1" applyFill="1" applyBorder="1" applyAlignment="1">
      <alignment horizontal="center" vertical="center" wrapText="1"/>
    </xf>
    <xf numFmtId="0" fontId="5" fillId="13" borderId="9" xfId="0" applyFont="1" applyFill="1" applyBorder="1" applyAlignment="1">
      <alignment horizontal="center" vertical="center" wrapText="1"/>
    </xf>
    <xf numFmtId="0" fontId="5" fillId="13" borderId="1" xfId="0" applyFont="1" applyFill="1" applyBorder="1" applyAlignment="1">
      <alignment vertical="center" wrapText="1"/>
    </xf>
    <xf numFmtId="0" fontId="5" fillId="18" borderId="2" xfId="0" applyFont="1" applyFill="1" applyBorder="1" applyAlignment="1">
      <alignment vertical="center" wrapText="1"/>
    </xf>
    <xf numFmtId="0" fontId="5" fillId="18" borderId="2" xfId="0" applyFont="1" applyFill="1" applyBorder="1" applyAlignment="1">
      <alignment horizontal="left" vertical="center" wrapText="1"/>
    </xf>
    <xf numFmtId="0" fontId="6" fillId="19" borderId="2" xfId="0" applyFont="1" applyFill="1" applyBorder="1" applyAlignment="1">
      <alignment vertical="center" wrapText="1"/>
    </xf>
    <xf numFmtId="0" fontId="6" fillId="19" borderId="2" xfId="0" applyFont="1" applyFill="1" applyBorder="1" applyAlignment="1">
      <alignment horizontal="left" vertical="center" wrapText="1"/>
    </xf>
    <xf numFmtId="0" fontId="9" fillId="19" borderId="2" xfId="0" applyFont="1" applyFill="1" applyBorder="1" applyAlignment="1">
      <alignment vertical="center" wrapText="1"/>
    </xf>
    <xf numFmtId="0" fontId="5" fillId="18" borderId="8" xfId="0" applyFont="1" applyFill="1" applyBorder="1" applyAlignment="1">
      <alignment horizontal="left" vertical="center" wrapText="1"/>
    </xf>
    <xf numFmtId="0" fontId="5" fillId="18" borderId="9" xfId="0" applyFont="1" applyFill="1" applyBorder="1" applyAlignment="1">
      <alignment horizontal="left" vertical="center" wrapText="1"/>
    </xf>
    <xf numFmtId="0" fontId="6" fillId="20" borderId="2" xfId="0" applyFont="1" applyFill="1" applyBorder="1" applyAlignment="1">
      <alignment vertical="center" wrapText="1"/>
    </xf>
    <xf numFmtId="0" fontId="6" fillId="20" borderId="2" xfId="0" applyFont="1" applyFill="1" applyBorder="1" applyAlignment="1">
      <alignment horizontal="left" vertical="center" wrapText="1"/>
    </xf>
    <xf numFmtId="9" fontId="6" fillId="20" borderId="2" xfId="0" applyNumberFormat="1" applyFont="1" applyFill="1" applyBorder="1" applyAlignment="1">
      <alignment horizontal="center" vertical="center" wrapText="1"/>
    </xf>
    <xf numFmtId="9" fontId="6" fillId="20" borderId="2" xfId="0" applyNumberFormat="1" applyFont="1" applyFill="1" applyBorder="1" applyAlignment="1">
      <alignment horizontal="left" vertical="center" wrapText="1"/>
    </xf>
    <xf numFmtId="0" fontId="6" fillId="20" borderId="2" xfId="0" applyFont="1" applyFill="1" applyBorder="1" applyAlignment="1">
      <alignment horizontal="center" vertical="center" wrapText="1"/>
    </xf>
    <xf numFmtId="0" fontId="6" fillId="21" borderId="2" xfId="0" quotePrefix="1" applyFont="1" applyFill="1" applyBorder="1" applyAlignment="1">
      <alignment vertical="center" wrapText="1"/>
    </xf>
    <xf numFmtId="0" fontId="6" fillId="21" borderId="2" xfId="0" quotePrefix="1" applyFont="1" applyFill="1" applyBorder="1" applyAlignment="1">
      <alignment horizontal="left" vertical="center" wrapText="1"/>
    </xf>
    <xf numFmtId="0" fontId="6" fillId="21" borderId="2" xfId="0" applyFont="1" applyFill="1" applyBorder="1" applyAlignment="1">
      <alignment horizontal="center" vertical="center" wrapText="1"/>
    </xf>
    <xf numFmtId="0" fontId="6" fillId="21" borderId="18" xfId="0" quotePrefix="1" applyFont="1" applyFill="1" applyBorder="1" applyAlignment="1">
      <alignment vertical="center" wrapText="1"/>
    </xf>
    <xf numFmtId="0" fontId="9" fillId="22" borderId="2" xfId="0" applyFont="1" applyFill="1" applyBorder="1" applyAlignment="1">
      <alignment vertical="center" wrapText="1"/>
    </xf>
    <xf numFmtId="0" fontId="6" fillId="22" borderId="2" xfId="0" applyFont="1" applyFill="1" applyBorder="1" applyAlignment="1">
      <alignment vertical="center" wrapText="1"/>
    </xf>
    <xf numFmtId="0" fontId="6" fillId="22" borderId="2" xfId="0" applyFont="1" applyFill="1" applyBorder="1" applyAlignment="1">
      <alignment horizontal="left" vertical="center" wrapText="1"/>
    </xf>
    <xf numFmtId="0" fontId="6" fillId="22" borderId="2" xfId="0" applyFont="1" applyFill="1" applyBorder="1" applyAlignment="1">
      <alignment horizontal="center" vertical="center" wrapText="1"/>
    </xf>
    <xf numFmtId="0" fontId="6" fillId="19" borderId="2" xfId="0" applyFont="1" applyFill="1" applyBorder="1" applyAlignment="1">
      <alignment horizontal="center" vertical="center" wrapText="1"/>
    </xf>
    <xf numFmtId="0" fontId="6" fillId="21" borderId="2" xfId="0" applyFont="1" applyFill="1" applyBorder="1" applyAlignment="1">
      <alignment vertical="center" wrapText="1"/>
    </xf>
    <xf numFmtId="0" fontId="6" fillId="21" borderId="2" xfId="0" applyFont="1" applyFill="1" applyBorder="1" applyAlignment="1">
      <alignment horizontal="left" vertical="center" wrapText="1"/>
    </xf>
    <xf numFmtId="0" fontId="5" fillId="18" borderId="1" xfId="0" applyFont="1" applyFill="1" applyBorder="1" applyAlignment="1">
      <alignment vertical="center" wrapText="1"/>
    </xf>
    <xf numFmtId="0" fontId="5" fillId="23" borderId="2" xfId="0" applyFont="1" applyFill="1" applyBorder="1" applyAlignment="1">
      <alignment vertical="center" wrapText="1"/>
    </xf>
    <xf numFmtId="0" fontId="5" fillId="23" borderId="2" xfId="0" applyFont="1" applyFill="1" applyBorder="1" applyAlignment="1">
      <alignment horizontal="left" vertical="center" wrapText="1"/>
    </xf>
    <xf numFmtId="0" fontId="9" fillId="24" borderId="2" xfId="0" applyFont="1" applyFill="1" applyBorder="1" applyAlignment="1">
      <alignment vertical="center" wrapText="1"/>
    </xf>
    <xf numFmtId="0" fontId="6" fillId="24" borderId="2" xfId="0" applyFont="1" applyFill="1" applyBorder="1" applyAlignment="1">
      <alignment vertical="center" wrapText="1"/>
    </xf>
    <xf numFmtId="0" fontId="6" fillId="24" borderId="2" xfId="0" applyFont="1" applyFill="1" applyBorder="1" applyAlignment="1">
      <alignment horizontal="left" vertical="center" wrapText="1"/>
    </xf>
    <xf numFmtId="0" fontId="5" fillId="23" borderId="8" xfId="0" applyFont="1" applyFill="1" applyBorder="1" applyAlignment="1">
      <alignment horizontal="left" vertical="center" wrapText="1"/>
    </xf>
    <xf numFmtId="0" fontId="5" fillId="23" borderId="9" xfId="0" applyFont="1" applyFill="1" applyBorder="1" applyAlignment="1">
      <alignment horizontal="left" vertical="center" wrapText="1"/>
    </xf>
    <xf numFmtId="0" fontId="6" fillId="25" borderId="2" xfId="0" applyFont="1" applyFill="1" applyBorder="1" applyAlignment="1">
      <alignment vertical="center" wrapText="1"/>
    </xf>
    <xf numFmtId="0" fontId="6" fillId="25" borderId="2" xfId="0" applyFont="1" applyFill="1" applyBorder="1" applyAlignment="1">
      <alignment horizontal="left" vertical="center" wrapText="1"/>
    </xf>
    <xf numFmtId="9" fontId="6" fillId="25" borderId="2" xfId="0" applyNumberFormat="1" applyFont="1" applyFill="1" applyBorder="1" applyAlignment="1">
      <alignment horizontal="center" vertical="center" wrapText="1"/>
    </xf>
    <xf numFmtId="9" fontId="6" fillId="25" borderId="2" xfId="0" applyNumberFormat="1" applyFont="1" applyFill="1" applyBorder="1" applyAlignment="1">
      <alignment horizontal="left" vertical="center" wrapText="1"/>
    </xf>
    <xf numFmtId="0" fontId="6" fillId="25" borderId="2" xfId="0" applyFont="1" applyFill="1" applyBorder="1" applyAlignment="1">
      <alignment horizontal="center" vertical="center" wrapText="1"/>
    </xf>
    <xf numFmtId="0" fontId="6" fillId="26" borderId="2" xfId="0" applyFont="1" applyFill="1" applyBorder="1" applyAlignment="1">
      <alignment vertical="center" wrapText="1"/>
    </xf>
    <xf numFmtId="0" fontId="6" fillId="26" borderId="2" xfId="0" applyFont="1" applyFill="1" applyBorder="1" applyAlignment="1">
      <alignment horizontal="left" vertical="center" wrapText="1"/>
    </xf>
    <xf numFmtId="0" fontId="6" fillId="26" borderId="2" xfId="0" applyFont="1" applyFill="1" applyBorder="1" applyAlignment="1">
      <alignment horizontal="center" vertical="center" wrapText="1"/>
    </xf>
    <xf numFmtId="0" fontId="9" fillId="27" borderId="2" xfId="0" applyFont="1" applyFill="1" applyBorder="1" applyAlignment="1">
      <alignment vertical="center" wrapText="1"/>
    </xf>
    <xf numFmtId="0" fontId="6" fillId="27" borderId="2" xfId="0" applyFont="1" applyFill="1" applyBorder="1" applyAlignment="1">
      <alignment vertical="center" wrapText="1"/>
    </xf>
    <xf numFmtId="0" fontId="6" fillId="27" borderId="2" xfId="0" applyFont="1" applyFill="1" applyBorder="1" applyAlignment="1">
      <alignment horizontal="left" vertical="center" wrapText="1"/>
    </xf>
    <xf numFmtId="0" fontId="6" fillId="27" borderId="2" xfId="0" applyFont="1" applyFill="1" applyBorder="1" applyAlignment="1">
      <alignment horizontal="center" vertical="center" wrapText="1"/>
    </xf>
    <xf numFmtId="0" fontId="6" fillId="24" borderId="2" xfId="0" applyFont="1" applyFill="1" applyBorder="1" applyAlignment="1">
      <alignment horizontal="center" vertical="center" wrapText="1"/>
    </xf>
    <xf numFmtId="0" fontId="5" fillId="23" borderId="2" xfId="0" applyFont="1" applyFill="1" applyBorder="1" applyAlignment="1">
      <alignment horizontal="center" vertical="center" wrapText="1"/>
    </xf>
    <xf numFmtId="0" fontId="5" fillId="23" borderId="7" xfId="0" applyFont="1" applyFill="1" applyBorder="1" applyAlignment="1">
      <alignment horizontal="center" vertical="center" wrapText="1"/>
    </xf>
    <xf numFmtId="0" fontId="5" fillId="23" borderId="8" xfId="0" applyFont="1" applyFill="1" applyBorder="1" applyAlignment="1">
      <alignment horizontal="center" vertical="center" wrapText="1"/>
    </xf>
    <xf numFmtId="0" fontId="5" fillId="23" borderId="9" xfId="0" applyFont="1" applyFill="1" applyBorder="1" applyAlignment="1">
      <alignment horizontal="center" vertical="center" wrapText="1"/>
    </xf>
    <xf numFmtId="0" fontId="6" fillId="28" borderId="8" xfId="0" applyFont="1" applyFill="1" applyBorder="1" applyAlignment="1">
      <alignment horizontal="center" vertical="center" wrapText="1"/>
    </xf>
    <xf numFmtId="0" fontId="6" fillId="28" borderId="9" xfId="0" applyFont="1" applyFill="1" applyBorder="1" applyAlignment="1">
      <alignment horizontal="center" vertical="center" wrapText="1"/>
    </xf>
    <xf numFmtId="0" fontId="6" fillId="28" borderId="8" xfId="0" applyFont="1" applyFill="1" applyBorder="1" applyAlignment="1">
      <alignment horizontal="left" vertical="center" wrapText="1"/>
    </xf>
    <xf numFmtId="0" fontId="6" fillId="28" borderId="9" xfId="0" applyFont="1" applyFill="1" applyBorder="1" applyAlignment="1">
      <alignment horizontal="left" vertical="center" wrapText="1"/>
    </xf>
    <xf numFmtId="0" fontId="6" fillId="28" borderId="7" xfId="0" applyFont="1" applyFill="1" applyBorder="1" applyAlignment="1">
      <alignment horizontal="left" vertical="center" wrapText="1"/>
    </xf>
    <xf numFmtId="0" fontId="6" fillId="28" borderId="7" xfId="0" applyFont="1" applyFill="1" applyBorder="1" applyAlignment="1">
      <alignment vertical="center" wrapText="1"/>
    </xf>
    <xf numFmtId="0" fontId="6" fillId="28" borderId="8" xfId="0" applyFont="1" applyFill="1" applyBorder="1" applyAlignment="1">
      <alignment vertical="center" wrapText="1"/>
    </xf>
    <xf numFmtId="0" fontId="6" fillId="28" borderId="9" xfId="0" applyFont="1" applyFill="1" applyBorder="1" applyAlignment="1">
      <alignment vertical="center" wrapText="1"/>
    </xf>
    <xf numFmtId="0" fontId="6" fillId="28" borderId="16" xfId="0" applyFont="1" applyFill="1" applyBorder="1" applyAlignment="1">
      <alignment horizontal="center" vertical="center" wrapText="1"/>
    </xf>
    <xf numFmtId="0" fontId="6" fillId="28" borderId="17" xfId="0" applyFont="1" applyFill="1" applyBorder="1" applyAlignment="1">
      <alignment horizontal="center" vertical="center" wrapText="1"/>
    </xf>
    <xf numFmtId="0" fontId="5" fillId="18" borderId="2" xfId="0" applyFont="1" applyFill="1" applyBorder="1" applyAlignment="1">
      <alignment horizontal="center" vertical="center" wrapText="1"/>
    </xf>
    <xf numFmtId="0" fontId="5" fillId="18" borderId="7" xfId="0" applyFont="1" applyFill="1" applyBorder="1" applyAlignment="1">
      <alignment horizontal="center" vertical="center" wrapText="1"/>
    </xf>
    <xf numFmtId="0" fontId="5" fillId="18" borderId="8" xfId="0" applyFont="1" applyFill="1" applyBorder="1" applyAlignment="1">
      <alignment horizontal="center" vertical="center" wrapText="1"/>
    </xf>
    <xf numFmtId="0" fontId="5" fillId="18" borderId="9" xfId="0" applyFont="1" applyFill="1" applyBorder="1" applyAlignment="1">
      <alignment horizontal="center" vertical="center" wrapText="1"/>
    </xf>
    <xf numFmtId="0" fontId="6" fillId="6" borderId="2" xfId="0" applyFont="1" applyFill="1" applyBorder="1" applyAlignment="1" applyProtection="1">
      <alignment vertical="center" wrapText="1"/>
      <protection locked="0"/>
    </xf>
    <xf numFmtId="0" fontId="6" fillId="24" borderId="2" xfId="0" applyFont="1" applyFill="1" applyBorder="1" applyAlignment="1" applyProtection="1">
      <alignment vertical="center" wrapText="1"/>
      <protection locked="0"/>
    </xf>
    <xf numFmtId="0" fontId="6" fillId="28" borderId="8" xfId="0" applyFont="1" applyFill="1" applyBorder="1" applyAlignment="1" applyProtection="1">
      <alignment horizontal="center" vertical="center" wrapText="1"/>
      <protection locked="0"/>
    </xf>
    <xf numFmtId="0" fontId="6" fillId="28" borderId="9" xfId="0" applyFont="1" applyFill="1" applyBorder="1" applyAlignment="1" applyProtection="1">
      <alignment horizontal="center" vertical="center" wrapText="1"/>
      <protection locked="0"/>
    </xf>
    <xf numFmtId="0" fontId="6" fillId="19" borderId="2" xfId="0" applyFont="1" applyFill="1" applyBorder="1" applyAlignment="1" applyProtection="1">
      <alignment vertical="center" wrapText="1"/>
      <protection locked="0"/>
    </xf>
    <xf numFmtId="0" fontId="6" fillId="14" borderId="2" xfId="0" applyFont="1" applyFill="1" applyBorder="1" applyAlignment="1" applyProtection="1">
      <alignment vertical="center" wrapText="1"/>
      <protection locked="0"/>
    </xf>
    <xf numFmtId="0" fontId="6" fillId="5" borderId="2" xfId="0" applyFont="1" applyFill="1" applyBorder="1" applyAlignment="1" applyProtection="1">
      <alignment vertical="center" wrapText="1"/>
      <protection locked="0"/>
    </xf>
    <xf numFmtId="0" fontId="6" fillId="6" borderId="2" xfId="0" applyFont="1" applyFill="1" applyBorder="1" applyAlignment="1" applyProtection="1">
      <alignment horizontal="left" vertical="center" wrapText="1"/>
      <protection locked="0"/>
    </xf>
    <xf numFmtId="0" fontId="6" fillId="8" borderId="8" xfId="0" applyFont="1" applyFill="1" applyBorder="1" applyAlignment="1" applyProtection="1">
      <alignment horizontal="center" vertical="center" wrapText="1"/>
      <protection locked="0"/>
    </xf>
    <xf numFmtId="0" fontId="6" fillId="8" borderId="9" xfId="0" applyFont="1" applyFill="1" applyBorder="1" applyAlignment="1" applyProtection="1">
      <alignment horizontal="center" vertical="center" wrapText="1"/>
      <protection locked="0"/>
    </xf>
    <xf numFmtId="0" fontId="6" fillId="8" borderId="9" xfId="0" applyFont="1" applyFill="1" applyBorder="1" applyAlignment="1" applyProtection="1">
      <alignment horizontal="left" vertical="center" wrapText="1"/>
      <protection locked="0"/>
    </xf>
    <xf numFmtId="0" fontId="6" fillId="28" borderId="8" xfId="0" applyFont="1" applyFill="1" applyBorder="1" applyAlignment="1" applyProtection="1">
      <alignment horizontal="left" vertical="center" wrapText="1"/>
      <protection locked="0"/>
    </xf>
    <xf numFmtId="0" fontId="6" fillId="28" borderId="9" xfId="0" applyFont="1" applyFill="1" applyBorder="1" applyAlignment="1" applyProtection="1">
      <alignment horizontal="left" vertical="center" wrapText="1"/>
      <protection locked="0"/>
    </xf>
    <xf numFmtId="0" fontId="6" fillId="28" borderId="7" xfId="0" applyFont="1" applyFill="1" applyBorder="1" applyAlignment="1" applyProtection="1">
      <alignment horizontal="left" vertical="center" wrapText="1"/>
      <protection locked="0"/>
    </xf>
    <xf numFmtId="0" fontId="6" fillId="8" borderId="9" xfId="0" applyFont="1" applyFill="1" applyBorder="1" applyAlignment="1" applyProtection="1">
      <alignment vertical="center" wrapText="1"/>
      <protection locked="0"/>
    </xf>
    <xf numFmtId="0" fontId="6" fillId="28" borderId="7" xfId="0" applyFont="1" applyFill="1" applyBorder="1" applyAlignment="1" applyProtection="1">
      <alignment vertical="center" wrapText="1"/>
      <protection locked="0"/>
    </xf>
    <xf numFmtId="0" fontId="6" fillId="28" borderId="8" xfId="0" applyFont="1" applyFill="1" applyBorder="1" applyAlignment="1" applyProtection="1">
      <alignment vertical="center" wrapText="1"/>
      <protection locked="0"/>
    </xf>
    <xf numFmtId="0" fontId="6" fillId="28" borderId="9" xfId="0" applyFont="1" applyFill="1" applyBorder="1" applyAlignment="1" applyProtection="1">
      <alignment vertical="center" wrapText="1"/>
      <protection locked="0"/>
    </xf>
    <xf numFmtId="0" fontId="6" fillId="8" borderId="8" xfId="0" applyFont="1" applyFill="1" applyBorder="1" applyAlignment="1" applyProtection="1">
      <alignment vertical="center" wrapText="1"/>
      <protection locked="0"/>
    </xf>
    <xf numFmtId="0" fontId="6" fillId="8" borderId="8" xfId="0" applyFont="1" applyFill="1" applyBorder="1" applyAlignment="1" applyProtection="1">
      <alignment horizontal="left" vertical="center" wrapText="1"/>
      <protection locked="0"/>
    </xf>
    <xf numFmtId="0" fontId="6" fillId="8" borderId="16" xfId="0" applyFont="1" applyFill="1" applyBorder="1" applyAlignment="1" applyProtection="1">
      <alignment horizontal="center" vertical="center" wrapText="1"/>
      <protection locked="0"/>
    </xf>
    <xf numFmtId="0" fontId="6" fillId="8" borderId="17" xfId="0" applyFont="1" applyFill="1" applyBorder="1" applyAlignment="1" applyProtection="1">
      <alignment horizontal="center" vertical="center" wrapText="1"/>
      <protection locked="0"/>
    </xf>
    <xf numFmtId="0" fontId="6" fillId="28" borderId="16" xfId="0" applyFont="1" applyFill="1" applyBorder="1" applyAlignment="1" applyProtection="1">
      <alignment horizontal="center" vertical="center" wrapText="1"/>
      <protection locked="0"/>
    </xf>
    <xf numFmtId="0" fontId="6" fillId="28" borderId="17" xfId="0" applyFont="1" applyFill="1" applyBorder="1" applyAlignment="1" applyProtection="1">
      <alignment horizontal="center" vertical="center" wrapText="1"/>
      <protection locked="0"/>
    </xf>
    <xf numFmtId="0" fontId="4" fillId="0" borderId="0" xfId="0" pivotButton="1" applyFont="1"/>
    <xf numFmtId="0" fontId="4" fillId="12" borderId="0" xfId="0" applyFont="1" applyFill="1" applyAlignment="1">
      <alignment horizontal="right"/>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6" fillId="28" borderId="15" xfId="0" applyFont="1" applyFill="1" applyBorder="1" applyAlignment="1" applyProtection="1">
      <alignment horizontal="center" vertical="center" wrapText="1"/>
      <protection locked="0"/>
    </xf>
    <xf numFmtId="0" fontId="6" fillId="28" borderId="16" xfId="0" applyFont="1" applyFill="1" applyBorder="1" applyAlignment="1" applyProtection="1">
      <alignment horizontal="center" vertical="center" wrapText="1"/>
      <protection locked="0"/>
    </xf>
    <xf numFmtId="0" fontId="6" fillId="6" borderId="1" xfId="0" applyFont="1" applyFill="1" applyBorder="1" applyAlignment="1" applyProtection="1">
      <alignment horizontal="center" vertical="center" wrapText="1"/>
      <protection locked="0"/>
    </xf>
    <xf numFmtId="0" fontId="6" fillId="6" borderId="3" xfId="0" applyFont="1" applyFill="1" applyBorder="1" applyAlignment="1" applyProtection="1">
      <alignment horizontal="center" vertical="center" wrapText="1"/>
      <protection locked="0"/>
    </xf>
    <xf numFmtId="0" fontId="6" fillId="28" borderId="15" xfId="0" applyFont="1" applyFill="1" applyBorder="1" applyAlignment="1">
      <alignment horizontal="center" vertical="center" wrapText="1"/>
    </xf>
    <xf numFmtId="0" fontId="6" fillId="28" borderId="16" xfId="0" applyFont="1" applyFill="1" applyBorder="1" applyAlignment="1">
      <alignment horizontal="center" vertical="center" wrapText="1"/>
    </xf>
    <xf numFmtId="0" fontId="6" fillId="28" borderId="7" xfId="0" applyFont="1" applyFill="1" applyBorder="1" applyAlignment="1">
      <alignment horizontal="center" vertical="center" wrapText="1"/>
    </xf>
    <xf numFmtId="0" fontId="6" fillId="28" borderId="8" xfId="0" applyFont="1" applyFill="1" applyBorder="1" applyAlignment="1">
      <alignment horizontal="center" vertical="center" wrapText="1"/>
    </xf>
    <xf numFmtId="0" fontId="6" fillId="28" borderId="7" xfId="0" applyFont="1" applyFill="1" applyBorder="1" applyAlignment="1" applyProtection="1">
      <alignment horizontal="center" vertical="center" wrapText="1"/>
      <protection locked="0"/>
    </xf>
    <xf numFmtId="0" fontId="6" fillId="28" borderId="8" xfId="0" applyFont="1" applyFill="1" applyBorder="1" applyAlignment="1" applyProtection="1">
      <alignment horizontal="center" vertical="center" wrapText="1"/>
      <protection locked="0"/>
    </xf>
    <xf numFmtId="0" fontId="9" fillId="9" borderId="2" xfId="0" applyFont="1" applyFill="1" applyBorder="1" applyAlignment="1">
      <alignment horizontal="center" vertical="center" wrapText="1"/>
    </xf>
    <xf numFmtId="0" fontId="6" fillId="9" borderId="12" xfId="0" applyFont="1" applyFill="1" applyBorder="1" applyAlignment="1">
      <alignment horizontal="center" vertical="center" wrapText="1"/>
    </xf>
    <xf numFmtId="0" fontId="6" fillId="9" borderId="13" xfId="0" applyFont="1" applyFill="1" applyBorder="1" applyAlignment="1">
      <alignment horizontal="center" vertical="center" wrapText="1"/>
    </xf>
    <xf numFmtId="0" fontId="6" fillId="9" borderId="14" xfId="0" applyFont="1" applyFill="1" applyBorder="1" applyAlignment="1">
      <alignment horizontal="center" vertical="center" wrapText="1"/>
    </xf>
    <xf numFmtId="0" fontId="6" fillId="8" borderId="15" xfId="0" applyFont="1" applyFill="1" applyBorder="1" applyAlignment="1">
      <alignment horizontal="center" vertical="center" wrapText="1"/>
    </xf>
    <xf numFmtId="0" fontId="6" fillId="8" borderId="16" xfId="0" applyFont="1" applyFill="1" applyBorder="1" applyAlignment="1">
      <alignment horizontal="center" vertical="center" wrapText="1"/>
    </xf>
    <xf numFmtId="0" fontId="6" fillId="8" borderId="7" xfId="0" applyFont="1" applyFill="1" applyBorder="1" applyAlignment="1">
      <alignment horizontal="center" vertical="center" wrapText="1"/>
    </xf>
    <xf numFmtId="0" fontId="6" fillId="8" borderId="8" xfId="0" applyFont="1" applyFill="1" applyBorder="1" applyAlignment="1">
      <alignment horizontal="center" vertical="center" wrapText="1"/>
    </xf>
    <xf numFmtId="165" fontId="6" fillId="8" borderId="7" xfId="2" applyNumberFormat="1" applyFont="1" applyFill="1" applyBorder="1" applyAlignment="1">
      <alignment horizontal="center" vertical="center" wrapText="1"/>
    </xf>
    <xf numFmtId="165" fontId="6" fillId="8" borderId="8" xfId="2" applyNumberFormat="1" applyFont="1" applyFill="1" applyBorder="1" applyAlignment="1">
      <alignment horizontal="center" vertical="center" wrapText="1"/>
    </xf>
    <xf numFmtId="0" fontId="6" fillId="7" borderId="2" xfId="0" applyFont="1" applyFill="1" applyBorder="1" applyAlignment="1">
      <alignment horizontal="center" vertical="center" wrapText="1"/>
    </xf>
    <xf numFmtId="0" fontId="9" fillId="7" borderId="2" xfId="0" applyFont="1" applyFill="1" applyBorder="1" applyAlignment="1">
      <alignment horizontal="center" vertical="center" textRotation="90"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6" fillId="8" borderId="10" xfId="0" applyFont="1" applyFill="1" applyBorder="1" applyAlignment="1">
      <alignment horizontal="center" vertical="center" wrapText="1"/>
    </xf>
    <xf numFmtId="0" fontId="6" fillId="8" borderId="11" xfId="0" applyFont="1" applyFill="1" applyBorder="1" applyAlignment="1">
      <alignment horizontal="center" vertical="center" wrapText="1"/>
    </xf>
    <xf numFmtId="0" fontId="6" fillId="28" borderId="10" xfId="0" applyFont="1" applyFill="1" applyBorder="1" applyAlignment="1" applyProtection="1">
      <alignment horizontal="center" vertical="center" wrapText="1"/>
      <protection locked="0"/>
    </xf>
    <xf numFmtId="0" fontId="6" fillId="28" borderId="11" xfId="0" applyFont="1" applyFill="1" applyBorder="1" applyAlignment="1" applyProtection="1">
      <alignment horizontal="center" vertical="center" wrapText="1"/>
      <protection locked="0"/>
    </xf>
    <xf numFmtId="0" fontId="6" fillId="28" borderId="10" xfId="0" applyFont="1" applyFill="1" applyBorder="1" applyAlignment="1">
      <alignment horizontal="center" vertical="center" wrapText="1"/>
    </xf>
    <xf numFmtId="0" fontId="6" fillId="28" borderId="11"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6" fillId="7" borderId="2" xfId="0" applyFont="1" applyFill="1" applyBorder="1" applyAlignment="1">
      <alignment horizontal="left" vertical="center" wrapText="1"/>
    </xf>
    <xf numFmtId="164" fontId="6" fillId="8" borderId="7" xfId="3" applyNumberFormat="1" applyFont="1" applyFill="1" applyBorder="1" applyAlignment="1">
      <alignment horizontal="center" vertical="center" wrapText="1"/>
    </xf>
    <xf numFmtId="164" fontId="6" fillId="8" borderId="8" xfId="3" applyNumberFormat="1" applyFont="1" applyFill="1" applyBorder="1" applyAlignment="1">
      <alignment horizontal="center" vertical="center" wrapText="1"/>
    </xf>
    <xf numFmtId="0" fontId="5" fillId="13" borderId="10" xfId="0" applyFont="1" applyFill="1" applyBorder="1" applyAlignment="1">
      <alignment horizontal="center" vertical="center" wrapText="1"/>
    </xf>
    <xf numFmtId="0" fontId="5" fillId="13" borderId="11" xfId="0" applyFont="1" applyFill="1" applyBorder="1" applyAlignment="1">
      <alignment horizontal="center" vertical="center" wrapText="1"/>
    </xf>
    <xf numFmtId="0" fontId="6" fillId="15" borderId="2" xfId="0" applyFont="1" applyFill="1" applyBorder="1" applyAlignment="1">
      <alignment horizontal="center" vertical="center" wrapText="1"/>
    </xf>
    <xf numFmtId="0" fontId="9" fillId="16" borderId="2" xfId="0" applyFont="1" applyFill="1" applyBorder="1" applyAlignment="1">
      <alignment horizontal="center" vertical="center" wrapText="1"/>
    </xf>
    <xf numFmtId="0" fontId="6" fillId="16" borderId="12" xfId="0" applyFont="1" applyFill="1" applyBorder="1" applyAlignment="1">
      <alignment horizontal="center" vertical="center" wrapText="1"/>
    </xf>
    <xf numFmtId="0" fontId="6" fillId="16" borderId="13" xfId="0" applyFont="1" applyFill="1" applyBorder="1" applyAlignment="1">
      <alignment horizontal="center" vertical="center" wrapText="1"/>
    </xf>
    <xf numFmtId="0" fontId="6" fillId="16" borderId="14" xfId="0" applyFont="1" applyFill="1" applyBorder="1" applyAlignment="1">
      <alignment horizontal="center" vertical="center" wrapText="1"/>
    </xf>
    <xf numFmtId="0" fontId="9" fillId="15" borderId="2" xfId="0" applyFont="1" applyFill="1" applyBorder="1" applyAlignment="1">
      <alignment horizontal="center" vertical="center" textRotation="90" wrapText="1"/>
    </xf>
    <xf numFmtId="0" fontId="5" fillId="13" borderId="1" xfId="0" applyFont="1" applyFill="1" applyBorder="1" applyAlignment="1">
      <alignment horizontal="center" vertical="center" wrapText="1"/>
    </xf>
    <xf numFmtId="0" fontId="5" fillId="13" borderId="3" xfId="0" applyFont="1" applyFill="1" applyBorder="1" applyAlignment="1">
      <alignment horizontal="center" vertical="center" wrapText="1"/>
    </xf>
    <xf numFmtId="0" fontId="5" fillId="13" borderId="7" xfId="0" applyFont="1" applyFill="1" applyBorder="1" applyAlignment="1">
      <alignment horizontal="center" vertical="center" wrapText="1"/>
    </xf>
    <xf numFmtId="0" fontId="5" fillId="13" borderId="8" xfId="0" applyFont="1" applyFill="1" applyBorder="1" applyAlignment="1">
      <alignment horizontal="center" vertical="center" wrapText="1"/>
    </xf>
    <xf numFmtId="0" fontId="9" fillId="15" borderId="2" xfId="0" applyFont="1" applyFill="1" applyBorder="1" applyAlignment="1">
      <alignment horizontal="center" vertical="center" wrapText="1"/>
    </xf>
    <xf numFmtId="0" fontId="6" fillId="15" borderId="2" xfId="0" applyFont="1" applyFill="1" applyBorder="1" applyAlignment="1">
      <alignment horizontal="left" vertical="center" wrapText="1"/>
    </xf>
    <xf numFmtId="0" fontId="5" fillId="18" borderId="7" xfId="0" applyFont="1" applyFill="1" applyBorder="1" applyAlignment="1">
      <alignment horizontal="center" vertical="center" wrapText="1"/>
    </xf>
    <xf numFmtId="0" fontId="5" fillId="18" borderId="8" xfId="0" applyFont="1" applyFill="1" applyBorder="1" applyAlignment="1">
      <alignment horizontal="center" vertical="center" wrapText="1"/>
    </xf>
    <xf numFmtId="0" fontId="6" fillId="20" borderId="2" xfId="0" applyFont="1" applyFill="1" applyBorder="1" applyAlignment="1">
      <alignment horizontal="center" vertical="center" wrapText="1"/>
    </xf>
    <xf numFmtId="0" fontId="9" fillId="21" borderId="2" xfId="0" applyFont="1" applyFill="1" applyBorder="1" applyAlignment="1">
      <alignment horizontal="center" vertical="center" wrapText="1"/>
    </xf>
    <xf numFmtId="0" fontId="6" fillId="21" borderId="12" xfId="0" applyFont="1" applyFill="1" applyBorder="1" applyAlignment="1">
      <alignment horizontal="center" vertical="center" wrapText="1"/>
    </xf>
    <xf numFmtId="0" fontId="6" fillId="21" borderId="13" xfId="0" applyFont="1" applyFill="1" applyBorder="1" applyAlignment="1">
      <alignment horizontal="center" vertical="center" wrapText="1"/>
    </xf>
    <xf numFmtId="0" fontId="6" fillId="21" borderId="14" xfId="0" applyFont="1" applyFill="1" applyBorder="1" applyAlignment="1">
      <alignment horizontal="center" vertical="center" wrapText="1"/>
    </xf>
    <xf numFmtId="0" fontId="9" fillId="20" borderId="2" xfId="0" applyFont="1" applyFill="1" applyBorder="1" applyAlignment="1">
      <alignment horizontal="center" vertical="center" textRotation="90" wrapText="1"/>
    </xf>
    <xf numFmtId="0" fontId="5" fillId="18" borderId="1" xfId="0" applyFont="1" applyFill="1" applyBorder="1" applyAlignment="1">
      <alignment horizontal="center" vertical="center" wrapText="1"/>
    </xf>
    <xf numFmtId="0" fontId="5" fillId="18" borderId="3" xfId="0" applyFont="1" applyFill="1" applyBorder="1" applyAlignment="1">
      <alignment horizontal="center" vertical="center" wrapText="1"/>
    </xf>
    <xf numFmtId="0" fontId="9" fillId="20" borderId="2" xfId="0" applyFont="1" applyFill="1" applyBorder="1" applyAlignment="1">
      <alignment horizontal="center" vertical="center" wrapText="1"/>
    </xf>
    <xf numFmtId="0" fontId="6" fillId="20" borderId="2" xfId="0" applyFont="1" applyFill="1" applyBorder="1" applyAlignment="1">
      <alignment horizontal="left" vertical="center" wrapText="1"/>
    </xf>
    <xf numFmtId="0" fontId="5" fillId="23" borderId="7" xfId="0" applyFont="1" applyFill="1" applyBorder="1" applyAlignment="1">
      <alignment horizontal="center" vertical="center" wrapText="1"/>
    </xf>
    <xf numFmtId="0" fontId="5" fillId="23" borderId="8" xfId="0" applyFont="1" applyFill="1" applyBorder="1" applyAlignment="1">
      <alignment horizontal="center" vertical="center" wrapText="1"/>
    </xf>
    <xf numFmtId="0" fontId="6" fillId="25" borderId="2" xfId="0" applyFont="1" applyFill="1" applyBorder="1" applyAlignment="1">
      <alignment horizontal="center" vertical="center" wrapText="1"/>
    </xf>
    <xf numFmtId="0" fontId="9" fillId="26" borderId="2" xfId="0" applyFont="1" applyFill="1" applyBorder="1" applyAlignment="1">
      <alignment horizontal="center" vertical="center" wrapText="1"/>
    </xf>
    <xf numFmtId="0" fontId="6" fillId="26" borderId="12" xfId="0" applyFont="1" applyFill="1" applyBorder="1" applyAlignment="1">
      <alignment horizontal="center" vertical="center" wrapText="1"/>
    </xf>
    <xf numFmtId="0" fontId="6" fillId="26" borderId="13" xfId="0" applyFont="1" applyFill="1" applyBorder="1" applyAlignment="1">
      <alignment horizontal="center" vertical="center" wrapText="1"/>
    </xf>
    <xf numFmtId="0" fontId="6" fillId="26" borderId="14" xfId="0" applyFont="1" applyFill="1" applyBorder="1" applyAlignment="1">
      <alignment horizontal="center" vertical="center" wrapText="1"/>
    </xf>
    <xf numFmtId="0" fontId="9" fillId="25" borderId="2" xfId="0" applyFont="1" applyFill="1" applyBorder="1" applyAlignment="1">
      <alignment horizontal="center" vertical="center" textRotation="90" wrapText="1"/>
    </xf>
    <xf numFmtId="0" fontId="5" fillId="23" borderId="1" xfId="0" applyFont="1" applyFill="1" applyBorder="1" applyAlignment="1">
      <alignment horizontal="center" vertical="center" wrapText="1"/>
    </xf>
    <xf numFmtId="0" fontId="5" fillId="23" borderId="3" xfId="0" applyFont="1" applyFill="1" applyBorder="1" applyAlignment="1">
      <alignment horizontal="center" vertical="center" wrapText="1"/>
    </xf>
    <xf numFmtId="0" fontId="9" fillId="25" borderId="2" xfId="0" applyFont="1" applyFill="1" applyBorder="1" applyAlignment="1">
      <alignment horizontal="center" vertical="center" wrapText="1"/>
    </xf>
    <xf numFmtId="0" fontId="6" fillId="25" borderId="2" xfId="0" applyFont="1" applyFill="1" applyBorder="1" applyAlignment="1">
      <alignment horizontal="left" vertical="center" wrapText="1"/>
    </xf>
    <xf numFmtId="0" fontId="7" fillId="11" borderId="0" xfId="0" applyFont="1" applyFill="1"/>
    <xf numFmtId="0" fontId="0" fillId="0" borderId="0" xfId="0" applyFont="1"/>
  </cellXfs>
  <cellStyles count="4">
    <cellStyle name="Komma" xfId="2" builtinId="3"/>
    <cellStyle name="Link" xfId="1" builtinId="8"/>
    <cellStyle name="Prozent" xfId="3" builtinId="5"/>
    <cellStyle name="Standard" xfId="0" builtinId="0"/>
  </cellStyles>
  <dxfs count="109">
    <dxf>
      <font>
        <b/>
      </font>
    </dxf>
    <dxf>
      <font>
        <b val="0"/>
      </font>
    </dxf>
    <dxf>
      <font>
        <sz val="12"/>
      </font>
    </dxf>
    <dxf>
      <font>
        <sz val="12"/>
      </font>
    </dxf>
    <dxf>
      <font>
        <sz val="12"/>
      </font>
    </dxf>
    <dxf>
      <font>
        <sz val="12"/>
      </font>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27" formatCode="dd/mm/yyyy\ hh:mm"/>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27" formatCode="dd/mm/yyyy\ hh:mm"/>
    </dxf>
    <dxf>
      <numFmt numFmtId="27" formatCode="dd/mm/yyyy\ hh:mm"/>
    </dxf>
    <dxf>
      <numFmt numFmtId="0" formatCode="General"/>
    </dxf>
    <dxf>
      <font>
        <sz val="12"/>
      </font>
    </dxf>
    <dxf>
      <font>
        <sz val="12"/>
      </font>
    </dxf>
    <dxf>
      <font>
        <sz val="12"/>
      </font>
    </dxf>
    <dxf>
      <font>
        <sz val="12"/>
      </font>
    </dxf>
    <dxf>
      <numFmt numFmtId="0" formatCode="General"/>
    </dxf>
    <dxf>
      <numFmt numFmtId="0" formatCode="General"/>
    </dxf>
    <dxf>
      <numFmt numFmtId="0" formatCode="General"/>
    </dxf>
    <dxf>
      <numFmt numFmtId="0" formatCode="General"/>
    </dxf>
    <dxf>
      <numFmt numFmtId="0" formatCode="General"/>
    </dxf>
  </dxfs>
  <tableStyles count="0" defaultTableStyle="TableStyleMedium2" defaultPivotStyle="PivotStyleLight16"/>
  <colors>
    <mruColors>
      <color rgb="FFCB7D0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1.xml"/><Relationship Id="rId26" Type="http://schemas.openxmlformats.org/officeDocument/2006/relationships/sharedStrings" Target="sharedStrings.xml"/><Relationship Id="rId3" Type="http://schemas.openxmlformats.org/officeDocument/2006/relationships/worksheet" Target="worksheets/sheet3.xml"/><Relationship Id="rId21" Type="http://schemas.microsoft.com/office/2007/relationships/slicerCache" Target="slicerCaches/slicerCache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microsoft.com/office/2007/relationships/slicerCache" Target="slicerCaches/slicerCache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1.xml"/><Relationship Id="rId10" Type="http://schemas.openxmlformats.org/officeDocument/2006/relationships/worksheet" Target="worksheets/sheet10.xml"/><Relationship Id="rId19" Type="http://schemas.microsoft.com/office/2007/relationships/slicerCache" Target="slicerCaches/slicerCach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07/relationships/slicerCache" Target="slicerCaches/slicerCache4.xml"/><Relationship Id="rId27"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7</xdr:col>
      <xdr:colOff>369096</xdr:colOff>
      <xdr:row>0</xdr:row>
      <xdr:rowOff>0</xdr:rowOff>
    </xdr:from>
    <xdr:to>
      <xdr:col>8</xdr:col>
      <xdr:colOff>1501381</xdr:colOff>
      <xdr:row>4</xdr:row>
      <xdr:rowOff>5952</xdr:rowOff>
    </xdr:to>
    <mc:AlternateContent xmlns:mc="http://schemas.openxmlformats.org/markup-compatibility/2006" xmlns:a14="http://schemas.microsoft.com/office/drawing/2010/main">
      <mc:Choice Requires="a14">
        <xdr:graphicFrame macro="">
          <xdr:nvGraphicFramePr>
            <xdr:cNvPr id="7" name="Name">
              <a:extLst>
                <a:ext uri="{FF2B5EF4-FFF2-40B4-BE49-F238E27FC236}">
                  <a16:creationId xmlns:a16="http://schemas.microsoft.com/office/drawing/2014/main" id="{F2961F6E-0EC2-4739-A87B-13F808307436}"/>
                </a:ext>
              </a:extLst>
            </xdr:cNvPr>
            <xdr:cNvGraphicFramePr/>
          </xdr:nvGraphicFramePr>
          <xdr:xfrm>
            <a:off x="0" y="0"/>
            <a:ext cx="0" cy="0"/>
          </xdr:xfrm>
          <a:graphic>
            <a:graphicData uri="http://schemas.microsoft.com/office/drawing/2010/slicer">
              <sle:slicer xmlns:sle="http://schemas.microsoft.com/office/drawing/2010/slicer" name="Name"/>
            </a:graphicData>
          </a:graphic>
        </xdr:graphicFrame>
      </mc:Choice>
      <mc:Fallback xmlns="">
        <xdr:sp macro="" textlink="">
          <xdr:nvSpPr>
            <xdr:cNvPr id="0" name=""/>
            <xdr:cNvSpPr>
              <a:spLocks noTextEdit="1"/>
            </xdr:cNvSpPr>
          </xdr:nvSpPr>
          <xdr:spPr>
            <a:xfrm>
              <a:off x="7141371" y="0"/>
              <a:ext cx="1894285" cy="1644252"/>
            </a:xfrm>
            <a:prstGeom prst="rect">
              <a:avLst/>
            </a:prstGeom>
            <a:solidFill>
              <a:prstClr val="white"/>
            </a:solidFill>
            <a:ln w="1">
              <a:solidFill>
                <a:prstClr val="green"/>
              </a:solidFill>
            </a:ln>
          </xdr:spPr>
          <xdr:txBody>
            <a:bodyPr vertOverflow="clip" horzOverflow="clip"/>
            <a:lstStyle/>
            <a:p>
              <a:r>
                <a:rPr lang="de-CH"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8</xdr:col>
      <xdr:colOff>1431134</xdr:colOff>
      <xdr:row>0</xdr:row>
      <xdr:rowOff>2381</xdr:rowOff>
    </xdr:from>
    <xdr:to>
      <xdr:col>10</xdr:col>
      <xdr:colOff>352425</xdr:colOff>
      <xdr:row>4</xdr:row>
      <xdr:rowOff>5953</xdr:rowOff>
    </xdr:to>
    <mc:AlternateContent xmlns:mc="http://schemas.openxmlformats.org/markup-compatibility/2006" xmlns:a14="http://schemas.microsoft.com/office/drawing/2010/main">
      <mc:Choice Requires="a14">
        <xdr:graphicFrame macro="">
          <xdr:nvGraphicFramePr>
            <xdr:cNvPr id="8" name="Land">
              <a:extLst>
                <a:ext uri="{FF2B5EF4-FFF2-40B4-BE49-F238E27FC236}">
                  <a16:creationId xmlns:a16="http://schemas.microsoft.com/office/drawing/2014/main" id="{0783CFA8-2376-4541-9EC4-5329346396D2}"/>
                </a:ext>
              </a:extLst>
            </xdr:cNvPr>
            <xdr:cNvGraphicFramePr/>
          </xdr:nvGraphicFramePr>
          <xdr:xfrm>
            <a:off x="0" y="0"/>
            <a:ext cx="0" cy="0"/>
          </xdr:xfrm>
          <a:graphic>
            <a:graphicData uri="http://schemas.microsoft.com/office/drawing/2010/slicer">
              <sle:slicer xmlns:sle="http://schemas.microsoft.com/office/drawing/2010/slicer" name="Land"/>
            </a:graphicData>
          </a:graphic>
        </xdr:graphicFrame>
      </mc:Choice>
      <mc:Fallback xmlns="">
        <xdr:sp macro="" textlink="">
          <xdr:nvSpPr>
            <xdr:cNvPr id="0" name=""/>
            <xdr:cNvSpPr>
              <a:spLocks noTextEdit="1"/>
            </xdr:cNvSpPr>
          </xdr:nvSpPr>
          <xdr:spPr>
            <a:xfrm>
              <a:off x="8965409" y="2381"/>
              <a:ext cx="1426366" cy="1641872"/>
            </a:xfrm>
            <a:prstGeom prst="rect">
              <a:avLst/>
            </a:prstGeom>
            <a:solidFill>
              <a:prstClr val="white"/>
            </a:solidFill>
            <a:ln w="1">
              <a:solidFill>
                <a:prstClr val="green"/>
              </a:solidFill>
            </a:ln>
          </xdr:spPr>
          <xdr:txBody>
            <a:bodyPr vertOverflow="clip" horzOverflow="clip"/>
            <a:lstStyle/>
            <a:p>
              <a:r>
                <a:rPr lang="de-CH"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10</xdr:col>
      <xdr:colOff>378622</xdr:colOff>
      <xdr:row>0</xdr:row>
      <xdr:rowOff>1191</xdr:rowOff>
    </xdr:from>
    <xdr:to>
      <xdr:col>27</xdr:col>
      <xdr:colOff>315519</xdr:colOff>
      <xdr:row>4</xdr:row>
      <xdr:rowOff>5953</xdr:rowOff>
    </xdr:to>
    <mc:AlternateContent xmlns:mc="http://schemas.openxmlformats.org/markup-compatibility/2006" xmlns:a14="http://schemas.microsoft.com/office/drawing/2010/main">
      <mc:Choice Requires="a14">
        <xdr:graphicFrame macro="">
          <xdr:nvGraphicFramePr>
            <xdr:cNvPr id="9" name="Projekt">
              <a:extLst>
                <a:ext uri="{FF2B5EF4-FFF2-40B4-BE49-F238E27FC236}">
                  <a16:creationId xmlns:a16="http://schemas.microsoft.com/office/drawing/2014/main" id="{271F3C9F-3164-4C26-BAF5-DCB9875B872D}"/>
                </a:ext>
              </a:extLst>
            </xdr:cNvPr>
            <xdr:cNvGraphicFramePr/>
          </xdr:nvGraphicFramePr>
          <xdr:xfrm>
            <a:off x="0" y="0"/>
            <a:ext cx="0" cy="0"/>
          </xdr:xfrm>
          <a:graphic>
            <a:graphicData uri="http://schemas.microsoft.com/office/drawing/2010/slicer">
              <sle:slicer xmlns:sle="http://schemas.microsoft.com/office/drawing/2010/slicer" name="Projekt"/>
            </a:graphicData>
          </a:graphic>
        </xdr:graphicFrame>
      </mc:Choice>
      <mc:Fallback xmlns="">
        <xdr:sp macro="" textlink="">
          <xdr:nvSpPr>
            <xdr:cNvPr id="0" name=""/>
            <xdr:cNvSpPr>
              <a:spLocks noTextEdit="1"/>
            </xdr:cNvSpPr>
          </xdr:nvSpPr>
          <xdr:spPr>
            <a:xfrm>
              <a:off x="10417972" y="1191"/>
              <a:ext cx="1841897" cy="1643062"/>
            </a:xfrm>
            <a:prstGeom prst="rect">
              <a:avLst/>
            </a:prstGeom>
            <a:solidFill>
              <a:prstClr val="white"/>
            </a:solidFill>
            <a:ln w="1">
              <a:solidFill>
                <a:prstClr val="green"/>
              </a:solidFill>
            </a:ln>
          </xdr:spPr>
          <xdr:txBody>
            <a:bodyPr vertOverflow="clip" horzOverflow="clip"/>
            <a:lstStyle/>
            <a:p>
              <a:r>
                <a:rPr lang="de-CH"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xdr:from>
      <xdr:col>0</xdr:col>
      <xdr:colOff>19050</xdr:colOff>
      <xdr:row>1</xdr:row>
      <xdr:rowOff>0</xdr:rowOff>
    </xdr:from>
    <xdr:to>
      <xdr:col>5</xdr:col>
      <xdr:colOff>0</xdr:colOff>
      <xdr:row>1</xdr:row>
      <xdr:rowOff>190500</xdr:rowOff>
    </xdr:to>
    <xdr:sp macro="" textlink="">
      <xdr:nvSpPr>
        <xdr:cNvPr id="2" name="Textfeld 1">
          <a:extLst>
            <a:ext uri="{FF2B5EF4-FFF2-40B4-BE49-F238E27FC236}">
              <a16:creationId xmlns:a16="http://schemas.microsoft.com/office/drawing/2014/main" id="{A9FF39CD-0D53-45EB-8DA2-F2B2F08EF29E}"/>
            </a:ext>
          </a:extLst>
        </xdr:cNvPr>
        <xdr:cNvSpPr txBox="1"/>
      </xdr:nvSpPr>
      <xdr:spPr>
        <a:xfrm>
          <a:off x="19050" y="247650"/>
          <a:ext cx="6772275" cy="190500"/>
        </a:xfrm>
        <a:prstGeom prst="rect">
          <a:avLst/>
        </a:prstGeom>
        <a:solidFill>
          <a:schemeClr val="accent1">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CH" sz="1200" b="1">
              <a:solidFill>
                <a:schemeClr val="bg1"/>
              </a:solidFill>
              <a:latin typeface="Myriad Pro"/>
            </a:rPr>
            <a:t>Pays                       Projet       Projet partiel</a:t>
          </a:r>
          <a:r>
            <a:rPr lang="de-CH" sz="1200" b="1" baseline="0">
              <a:solidFill>
                <a:schemeClr val="bg1"/>
              </a:solidFill>
              <a:latin typeface="Myriad Pro"/>
            </a:rPr>
            <a:t>                          Nom       Domaine prioritaire</a:t>
          </a:r>
          <a:endParaRPr lang="de-CH" sz="1200" b="1">
            <a:solidFill>
              <a:schemeClr val="bg1"/>
            </a:solidFill>
            <a:latin typeface="Myriad Pro"/>
          </a:endParaRPr>
        </a:p>
      </xdr:txBody>
    </xdr:sp>
    <xdr:clientData/>
  </xdr:twoCellAnchor>
  <xdr:twoCellAnchor>
    <xdr:from>
      <xdr:col>0</xdr:col>
      <xdr:colOff>0</xdr:colOff>
      <xdr:row>1</xdr:row>
      <xdr:rowOff>13759</xdr:rowOff>
    </xdr:from>
    <xdr:to>
      <xdr:col>1</xdr:col>
      <xdr:colOff>10582</xdr:colOff>
      <xdr:row>4</xdr:row>
      <xdr:rowOff>169333</xdr:rowOff>
    </xdr:to>
    <xdr:sp macro="" textlink="">
      <xdr:nvSpPr>
        <xdr:cNvPr id="5" name="Textfeld 4">
          <a:extLst>
            <a:ext uri="{FF2B5EF4-FFF2-40B4-BE49-F238E27FC236}">
              <a16:creationId xmlns:a16="http://schemas.microsoft.com/office/drawing/2014/main" id="{0EF7C1BE-6AEB-4F3C-856E-8E16A518DFF6}"/>
            </a:ext>
          </a:extLst>
        </xdr:cNvPr>
        <xdr:cNvSpPr txBox="1"/>
      </xdr:nvSpPr>
      <xdr:spPr>
        <a:xfrm>
          <a:off x="0" y="261409"/>
          <a:ext cx="1315507" cy="154622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a:t>Pays: </a:t>
          </a:r>
        </a:p>
        <a:p>
          <a:r>
            <a:rPr lang="de-CH" sz="1200" b="1"/>
            <a:t>X</a:t>
          </a:r>
          <a:endParaRPr lang="de-CH" sz="1100" b="1"/>
        </a:p>
        <a:p>
          <a:r>
            <a:rPr lang="de-CH" sz="1100"/>
            <a:t>Projet:</a:t>
          </a:r>
        </a:p>
        <a:p>
          <a:r>
            <a:rPr lang="de-CH" sz="1100" b="1"/>
            <a:t>X</a:t>
          </a:r>
        </a:p>
        <a:p>
          <a:r>
            <a:rPr lang="de-CH" sz="1100"/>
            <a:t>Projet</a:t>
          </a:r>
          <a:r>
            <a:rPr lang="de-CH" sz="1100" baseline="0"/>
            <a:t> partiel</a:t>
          </a:r>
          <a:r>
            <a:rPr lang="de-CH" sz="1100"/>
            <a:t>:</a:t>
          </a:r>
        </a:p>
        <a:p>
          <a:r>
            <a:rPr lang="de-CH" sz="1200" b="1"/>
            <a:t>X</a:t>
          </a:r>
          <a:endParaRPr lang="de-CH" sz="1100" b="1"/>
        </a:p>
        <a:p>
          <a:r>
            <a:rPr lang="de-CH" sz="1100"/>
            <a:t>Chef</a:t>
          </a:r>
          <a:r>
            <a:rPr lang="de-CH" sz="1100" baseline="0"/>
            <a:t> de projet</a:t>
          </a:r>
          <a:r>
            <a:rPr lang="de-CH" sz="1100"/>
            <a:t>:</a:t>
          </a:r>
          <a:endParaRPr lang="de-CH" sz="1200"/>
        </a:p>
        <a:p>
          <a:r>
            <a:rPr lang="de-CH" sz="1200" b="1"/>
            <a:t>X</a:t>
          </a:r>
          <a:endParaRPr lang="de-CH" sz="1100" b="1"/>
        </a:p>
      </xdr:txBody>
    </xdr:sp>
    <xdr:clientData/>
  </xdr:twoCellAnchor>
  <xdr:twoCellAnchor editAs="oneCell">
    <xdr:from>
      <xdr:col>13</xdr:col>
      <xdr:colOff>320280</xdr:colOff>
      <xdr:row>0</xdr:row>
      <xdr:rowOff>3573</xdr:rowOff>
    </xdr:from>
    <xdr:to>
      <xdr:col>28</xdr:col>
      <xdr:colOff>21432</xdr:colOff>
      <xdr:row>4</xdr:row>
      <xdr:rowOff>5953</xdr:rowOff>
    </xdr:to>
    <mc:AlternateContent xmlns:mc="http://schemas.openxmlformats.org/markup-compatibility/2006" xmlns:a14="http://schemas.microsoft.com/office/drawing/2010/main">
      <mc:Choice Requires="a14">
        <xdr:graphicFrame macro="">
          <xdr:nvGraphicFramePr>
            <xdr:cNvPr id="10" name="Teilprojekt">
              <a:extLst>
                <a:ext uri="{FF2B5EF4-FFF2-40B4-BE49-F238E27FC236}">
                  <a16:creationId xmlns:a16="http://schemas.microsoft.com/office/drawing/2014/main" id="{8E404045-857C-474F-85E1-CBA11B748A7C}"/>
                </a:ext>
              </a:extLst>
            </xdr:cNvPr>
            <xdr:cNvGraphicFramePr/>
          </xdr:nvGraphicFramePr>
          <xdr:xfrm>
            <a:off x="0" y="0"/>
            <a:ext cx="0" cy="0"/>
          </xdr:xfrm>
          <a:graphic>
            <a:graphicData uri="http://schemas.microsoft.com/office/drawing/2010/slicer">
              <sle:slicer xmlns:sle="http://schemas.microsoft.com/office/drawing/2010/slicer" name="Teilprojekt"/>
            </a:graphicData>
          </a:graphic>
        </xdr:graphicFrame>
      </mc:Choice>
      <mc:Fallback xmlns="">
        <xdr:sp macro="" textlink="">
          <xdr:nvSpPr>
            <xdr:cNvPr id="0" name=""/>
            <xdr:cNvSpPr>
              <a:spLocks noTextEdit="1"/>
            </xdr:cNvSpPr>
          </xdr:nvSpPr>
          <xdr:spPr>
            <a:xfrm>
              <a:off x="10420350" y="3573"/>
              <a:ext cx="1926432" cy="1640680"/>
            </a:xfrm>
            <a:prstGeom prst="rect">
              <a:avLst/>
            </a:prstGeom>
            <a:solidFill>
              <a:prstClr val="white"/>
            </a:solidFill>
            <a:ln w="1">
              <a:solidFill>
                <a:prstClr val="green"/>
              </a:solidFill>
            </a:ln>
          </xdr:spPr>
          <xdr:txBody>
            <a:bodyPr vertOverflow="clip" horzOverflow="clip"/>
            <a:lstStyle/>
            <a:p>
              <a:r>
                <a:rPr lang="de-CH"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369096</xdr:colOff>
      <xdr:row>0</xdr:row>
      <xdr:rowOff>0</xdr:rowOff>
    </xdr:from>
    <xdr:to>
      <xdr:col>8</xdr:col>
      <xdr:colOff>1501381</xdr:colOff>
      <xdr:row>3</xdr:row>
      <xdr:rowOff>438150</xdr:rowOff>
    </xdr:to>
    <mc:AlternateContent xmlns:mc="http://schemas.openxmlformats.org/markup-compatibility/2006" xmlns:a14="http://schemas.microsoft.com/office/drawing/2010/main">
      <mc:Choice Requires="a14">
        <xdr:graphicFrame macro="">
          <xdr:nvGraphicFramePr>
            <xdr:cNvPr id="3" name="Name 1">
              <a:extLst>
                <a:ext uri="{FF2B5EF4-FFF2-40B4-BE49-F238E27FC236}">
                  <a16:creationId xmlns:a16="http://schemas.microsoft.com/office/drawing/2014/main" id="{A2AD96F0-6CEA-4A28-B18C-5A1E63723A1E}"/>
                </a:ext>
              </a:extLst>
            </xdr:cNvPr>
            <xdr:cNvGraphicFramePr/>
          </xdr:nvGraphicFramePr>
          <xdr:xfrm>
            <a:off x="0" y="0"/>
            <a:ext cx="0" cy="0"/>
          </xdr:xfrm>
          <a:graphic>
            <a:graphicData uri="http://schemas.microsoft.com/office/drawing/2010/slicer">
              <sle:slicer xmlns:sle="http://schemas.microsoft.com/office/drawing/2010/slicer" name="Name 1"/>
            </a:graphicData>
          </a:graphic>
        </xdr:graphicFrame>
      </mc:Choice>
      <mc:Fallback xmlns="">
        <xdr:sp macro="" textlink="">
          <xdr:nvSpPr>
            <xdr:cNvPr id="0" name=""/>
            <xdr:cNvSpPr>
              <a:spLocks noTextEdit="1"/>
            </xdr:cNvSpPr>
          </xdr:nvSpPr>
          <xdr:spPr>
            <a:xfrm>
              <a:off x="7141371" y="0"/>
              <a:ext cx="1894285" cy="1581150"/>
            </a:xfrm>
            <a:prstGeom prst="rect">
              <a:avLst/>
            </a:prstGeom>
            <a:solidFill>
              <a:prstClr val="white"/>
            </a:solidFill>
            <a:ln w="1">
              <a:solidFill>
                <a:prstClr val="green"/>
              </a:solidFill>
            </a:ln>
          </xdr:spPr>
          <xdr:txBody>
            <a:bodyPr vertOverflow="clip" horzOverflow="clip"/>
            <a:lstStyle/>
            <a:p>
              <a:r>
                <a:rPr lang="de-CH"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8</xdr:col>
      <xdr:colOff>1431134</xdr:colOff>
      <xdr:row>0</xdr:row>
      <xdr:rowOff>2381</xdr:rowOff>
    </xdr:from>
    <xdr:to>
      <xdr:col>10</xdr:col>
      <xdr:colOff>352425</xdr:colOff>
      <xdr:row>3</xdr:row>
      <xdr:rowOff>438150</xdr:rowOff>
    </xdr:to>
    <mc:AlternateContent xmlns:mc="http://schemas.openxmlformats.org/markup-compatibility/2006" xmlns:a14="http://schemas.microsoft.com/office/drawing/2010/main">
      <mc:Choice Requires="a14">
        <xdr:graphicFrame macro="">
          <xdr:nvGraphicFramePr>
            <xdr:cNvPr id="4" name="Land 1">
              <a:extLst>
                <a:ext uri="{FF2B5EF4-FFF2-40B4-BE49-F238E27FC236}">
                  <a16:creationId xmlns:a16="http://schemas.microsoft.com/office/drawing/2014/main" id="{CC1851A8-34A5-44B5-93FA-9213498BBD29}"/>
                </a:ext>
              </a:extLst>
            </xdr:cNvPr>
            <xdr:cNvGraphicFramePr/>
          </xdr:nvGraphicFramePr>
          <xdr:xfrm>
            <a:off x="0" y="0"/>
            <a:ext cx="0" cy="0"/>
          </xdr:xfrm>
          <a:graphic>
            <a:graphicData uri="http://schemas.microsoft.com/office/drawing/2010/slicer">
              <sle:slicer xmlns:sle="http://schemas.microsoft.com/office/drawing/2010/slicer" name="Land 1"/>
            </a:graphicData>
          </a:graphic>
        </xdr:graphicFrame>
      </mc:Choice>
      <mc:Fallback xmlns="">
        <xdr:sp macro="" textlink="">
          <xdr:nvSpPr>
            <xdr:cNvPr id="0" name=""/>
            <xdr:cNvSpPr>
              <a:spLocks noTextEdit="1"/>
            </xdr:cNvSpPr>
          </xdr:nvSpPr>
          <xdr:spPr>
            <a:xfrm>
              <a:off x="8965409" y="2381"/>
              <a:ext cx="1426366" cy="1578769"/>
            </a:xfrm>
            <a:prstGeom prst="rect">
              <a:avLst/>
            </a:prstGeom>
            <a:solidFill>
              <a:prstClr val="white"/>
            </a:solidFill>
            <a:ln w="1">
              <a:solidFill>
                <a:prstClr val="green"/>
              </a:solidFill>
            </a:ln>
          </xdr:spPr>
          <xdr:txBody>
            <a:bodyPr vertOverflow="clip" horzOverflow="clip"/>
            <a:lstStyle/>
            <a:p>
              <a:r>
                <a:rPr lang="de-CH"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10</xdr:col>
      <xdr:colOff>378622</xdr:colOff>
      <xdr:row>0</xdr:row>
      <xdr:rowOff>1191</xdr:rowOff>
    </xdr:from>
    <xdr:to>
      <xdr:col>27</xdr:col>
      <xdr:colOff>315519</xdr:colOff>
      <xdr:row>3</xdr:row>
      <xdr:rowOff>485775</xdr:rowOff>
    </xdr:to>
    <mc:AlternateContent xmlns:mc="http://schemas.openxmlformats.org/markup-compatibility/2006" xmlns:a14="http://schemas.microsoft.com/office/drawing/2010/main">
      <mc:Choice Requires="a14">
        <xdr:graphicFrame macro="">
          <xdr:nvGraphicFramePr>
            <xdr:cNvPr id="5" name="Projekt 1">
              <a:extLst>
                <a:ext uri="{FF2B5EF4-FFF2-40B4-BE49-F238E27FC236}">
                  <a16:creationId xmlns:a16="http://schemas.microsoft.com/office/drawing/2014/main" id="{3103CB17-BECD-498D-99E3-1882EEDED905}"/>
                </a:ext>
              </a:extLst>
            </xdr:cNvPr>
            <xdr:cNvGraphicFramePr/>
          </xdr:nvGraphicFramePr>
          <xdr:xfrm>
            <a:off x="0" y="0"/>
            <a:ext cx="0" cy="0"/>
          </xdr:xfrm>
          <a:graphic>
            <a:graphicData uri="http://schemas.microsoft.com/office/drawing/2010/slicer">
              <sle:slicer xmlns:sle="http://schemas.microsoft.com/office/drawing/2010/slicer" name="Projekt 1"/>
            </a:graphicData>
          </a:graphic>
        </xdr:graphicFrame>
      </mc:Choice>
      <mc:Fallback xmlns="">
        <xdr:sp macro="" textlink="">
          <xdr:nvSpPr>
            <xdr:cNvPr id="0" name=""/>
            <xdr:cNvSpPr>
              <a:spLocks noTextEdit="1"/>
            </xdr:cNvSpPr>
          </xdr:nvSpPr>
          <xdr:spPr>
            <a:xfrm>
              <a:off x="10417972" y="1191"/>
              <a:ext cx="1841897" cy="1627584"/>
            </a:xfrm>
            <a:prstGeom prst="rect">
              <a:avLst/>
            </a:prstGeom>
            <a:solidFill>
              <a:prstClr val="white"/>
            </a:solidFill>
            <a:ln w="1">
              <a:solidFill>
                <a:prstClr val="green"/>
              </a:solidFill>
            </a:ln>
          </xdr:spPr>
          <xdr:txBody>
            <a:bodyPr vertOverflow="clip" horzOverflow="clip"/>
            <a:lstStyle/>
            <a:p>
              <a:r>
                <a:rPr lang="de-CH"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13</xdr:col>
      <xdr:colOff>320280</xdr:colOff>
      <xdr:row>0</xdr:row>
      <xdr:rowOff>3573</xdr:rowOff>
    </xdr:from>
    <xdr:to>
      <xdr:col>28</xdr:col>
      <xdr:colOff>21432</xdr:colOff>
      <xdr:row>3</xdr:row>
      <xdr:rowOff>485775</xdr:rowOff>
    </xdr:to>
    <mc:AlternateContent xmlns:mc="http://schemas.openxmlformats.org/markup-compatibility/2006" xmlns:a14="http://schemas.microsoft.com/office/drawing/2010/main">
      <mc:Choice Requires="a14">
        <xdr:graphicFrame macro="">
          <xdr:nvGraphicFramePr>
            <xdr:cNvPr id="6" name="Teilprojekt 1">
              <a:extLst>
                <a:ext uri="{FF2B5EF4-FFF2-40B4-BE49-F238E27FC236}">
                  <a16:creationId xmlns:a16="http://schemas.microsoft.com/office/drawing/2014/main" id="{4AED5419-A85E-494E-AC86-8AB5C9A31F2B}"/>
                </a:ext>
              </a:extLst>
            </xdr:cNvPr>
            <xdr:cNvGraphicFramePr/>
          </xdr:nvGraphicFramePr>
          <xdr:xfrm>
            <a:off x="0" y="0"/>
            <a:ext cx="0" cy="0"/>
          </xdr:xfrm>
          <a:graphic>
            <a:graphicData uri="http://schemas.microsoft.com/office/drawing/2010/slicer">
              <sle:slicer xmlns:sle="http://schemas.microsoft.com/office/drawing/2010/slicer" name="Teilprojekt 1"/>
            </a:graphicData>
          </a:graphic>
        </xdr:graphicFrame>
      </mc:Choice>
      <mc:Fallback xmlns="">
        <xdr:sp macro="" textlink="">
          <xdr:nvSpPr>
            <xdr:cNvPr id="0" name=""/>
            <xdr:cNvSpPr>
              <a:spLocks noTextEdit="1"/>
            </xdr:cNvSpPr>
          </xdr:nvSpPr>
          <xdr:spPr>
            <a:xfrm>
              <a:off x="10420350" y="3573"/>
              <a:ext cx="1926432" cy="1625202"/>
            </a:xfrm>
            <a:prstGeom prst="rect">
              <a:avLst/>
            </a:prstGeom>
            <a:solidFill>
              <a:prstClr val="white"/>
            </a:solidFill>
            <a:ln w="1">
              <a:solidFill>
                <a:prstClr val="green"/>
              </a:solidFill>
            </a:ln>
          </xdr:spPr>
          <xdr:txBody>
            <a:bodyPr vertOverflow="clip" horzOverflow="clip"/>
            <a:lstStyle/>
            <a:p>
              <a:r>
                <a:rPr lang="de-CH"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0</xdr:col>
      <xdr:colOff>205317</xdr:colOff>
      <xdr:row>5</xdr:row>
      <xdr:rowOff>111125</xdr:rowOff>
    </xdr:from>
    <xdr:to>
      <xdr:col>0</xdr:col>
      <xdr:colOff>967317</xdr:colOff>
      <xdr:row>7</xdr:row>
      <xdr:rowOff>53076</xdr:rowOff>
    </xdr:to>
    <xdr:pic>
      <xdr:nvPicPr>
        <xdr:cNvPr id="7" name="Grafik 6">
          <a:extLst>
            <a:ext uri="{FF2B5EF4-FFF2-40B4-BE49-F238E27FC236}">
              <a16:creationId xmlns:a16="http://schemas.microsoft.com/office/drawing/2014/main" id="{53F24EBE-50AF-436C-99C9-60BB046D62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5317" y="1958975"/>
          <a:ext cx="762000" cy="761101"/>
        </a:xfrm>
        <a:prstGeom prst="rect">
          <a:avLst/>
        </a:prstGeom>
      </xdr:spPr>
    </xdr:pic>
    <xdr:clientData/>
  </xdr:twoCellAnchor>
  <xdr:twoCellAnchor>
    <xdr:from>
      <xdr:col>0</xdr:col>
      <xdr:colOff>19050</xdr:colOff>
      <xdr:row>1</xdr:row>
      <xdr:rowOff>9525</xdr:rowOff>
    </xdr:from>
    <xdr:to>
      <xdr:col>7</xdr:col>
      <xdr:colOff>19050</xdr:colOff>
      <xdr:row>1</xdr:row>
      <xdr:rowOff>200025</xdr:rowOff>
    </xdr:to>
    <xdr:sp macro="" textlink="">
      <xdr:nvSpPr>
        <xdr:cNvPr id="8" name="Textfeld 7">
          <a:extLst>
            <a:ext uri="{FF2B5EF4-FFF2-40B4-BE49-F238E27FC236}">
              <a16:creationId xmlns:a16="http://schemas.microsoft.com/office/drawing/2014/main" id="{154325A4-DA6D-4782-B051-8A8EE8F74738}"/>
            </a:ext>
          </a:extLst>
        </xdr:cNvPr>
        <xdr:cNvSpPr txBox="1"/>
      </xdr:nvSpPr>
      <xdr:spPr>
        <a:xfrm>
          <a:off x="19050" y="257175"/>
          <a:ext cx="6772275" cy="190500"/>
        </a:xfrm>
        <a:prstGeom prst="rect">
          <a:avLst/>
        </a:prstGeom>
        <a:solidFill>
          <a:srgbClr val="C0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CH" sz="1200" b="1">
              <a:solidFill>
                <a:schemeClr val="bg1"/>
              </a:solidFill>
              <a:latin typeface="Myriad Pro"/>
            </a:rPr>
            <a:t>Pays                       Projet       Projet partiel</a:t>
          </a:r>
          <a:r>
            <a:rPr lang="de-CH" sz="1200" b="1" baseline="0">
              <a:solidFill>
                <a:schemeClr val="bg1"/>
              </a:solidFill>
              <a:latin typeface="Myriad Pro"/>
            </a:rPr>
            <a:t>                          Nom       Domaine prioritaire</a:t>
          </a:r>
          <a:endParaRPr lang="de-CH" sz="1200" b="1">
            <a:solidFill>
              <a:schemeClr val="bg1"/>
            </a:solidFill>
            <a:latin typeface="Myriad Pro"/>
          </a:endParaRPr>
        </a:p>
      </xdr:txBody>
    </xdr:sp>
    <xdr:clientData/>
  </xdr:twoCellAnchor>
  <xdr:twoCellAnchor>
    <xdr:from>
      <xdr:col>0</xdr:col>
      <xdr:colOff>0</xdr:colOff>
      <xdr:row>1</xdr:row>
      <xdr:rowOff>23284</xdr:rowOff>
    </xdr:from>
    <xdr:to>
      <xdr:col>1</xdr:col>
      <xdr:colOff>10582</xdr:colOff>
      <xdr:row>4</xdr:row>
      <xdr:rowOff>178858</xdr:rowOff>
    </xdr:to>
    <xdr:sp macro="" textlink="">
      <xdr:nvSpPr>
        <xdr:cNvPr id="9" name="Textfeld 8">
          <a:extLst>
            <a:ext uri="{FF2B5EF4-FFF2-40B4-BE49-F238E27FC236}">
              <a16:creationId xmlns:a16="http://schemas.microsoft.com/office/drawing/2014/main" id="{F66365B1-C92F-436B-858E-72A48B977C7A}"/>
            </a:ext>
          </a:extLst>
        </xdr:cNvPr>
        <xdr:cNvSpPr txBox="1"/>
      </xdr:nvSpPr>
      <xdr:spPr>
        <a:xfrm>
          <a:off x="0" y="270934"/>
          <a:ext cx="1315507" cy="154622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a:t>Pays: </a:t>
          </a:r>
        </a:p>
        <a:p>
          <a:r>
            <a:rPr lang="de-CH" sz="1200" b="1"/>
            <a:t>X</a:t>
          </a:r>
          <a:endParaRPr lang="de-CH" sz="1100" b="1"/>
        </a:p>
        <a:p>
          <a:r>
            <a:rPr lang="de-CH" sz="1100"/>
            <a:t>Projet:</a:t>
          </a:r>
        </a:p>
        <a:p>
          <a:r>
            <a:rPr lang="de-CH" sz="1100" b="1"/>
            <a:t>X</a:t>
          </a:r>
        </a:p>
        <a:p>
          <a:r>
            <a:rPr lang="de-CH" sz="1100"/>
            <a:t>Projet</a:t>
          </a:r>
          <a:r>
            <a:rPr lang="de-CH" sz="1100" baseline="0"/>
            <a:t> partiel</a:t>
          </a:r>
          <a:r>
            <a:rPr lang="de-CH" sz="1100"/>
            <a:t>:</a:t>
          </a:r>
        </a:p>
        <a:p>
          <a:r>
            <a:rPr lang="de-CH" sz="1200" b="1"/>
            <a:t>X</a:t>
          </a:r>
          <a:endParaRPr lang="de-CH" sz="1100" b="1"/>
        </a:p>
        <a:p>
          <a:r>
            <a:rPr lang="de-CH" sz="1100"/>
            <a:t>Chef</a:t>
          </a:r>
          <a:r>
            <a:rPr lang="de-CH" sz="1100" baseline="0"/>
            <a:t> de projet</a:t>
          </a:r>
          <a:r>
            <a:rPr lang="de-CH" sz="1100"/>
            <a:t>:</a:t>
          </a:r>
          <a:endParaRPr lang="de-CH" sz="1200"/>
        </a:p>
        <a:p>
          <a:r>
            <a:rPr lang="de-CH" sz="1200" b="1"/>
            <a:t>X</a:t>
          </a:r>
          <a:endParaRPr lang="de-CH" sz="1100" b="1"/>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369096</xdr:colOff>
      <xdr:row>0</xdr:row>
      <xdr:rowOff>0</xdr:rowOff>
    </xdr:from>
    <xdr:to>
      <xdr:col>8</xdr:col>
      <xdr:colOff>1501381</xdr:colOff>
      <xdr:row>3</xdr:row>
      <xdr:rowOff>494759</xdr:rowOff>
    </xdr:to>
    <mc:AlternateContent xmlns:mc="http://schemas.openxmlformats.org/markup-compatibility/2006" xmlns:a14="http://schemas.microsoft.com/office/drawing/2010/main">
      <mc:Choice Requires="a14">
        <xdr:graphicFrame macro="">
          <xdr:nvGraphicFramePr>
            <xdr:cNvPr id="3" name="Name 2">
              <a:extLst>
                <a:ext uri="{FF2B5EF4-FFF2-40B4-BE49-F238E27FC236}">
                  <a16:creationId xmlns:a16="http://schemas.microsoft.com/office/drawing/2014/main" id="{31DDAB64-4618-44E1-B937-037F288FE2B5}"/>
                </a:ext>
              </a:extLst>
            </xdr:cNvPr>
            <xdr:cNvGraphicFramePr/>
          </xdr:nvGraphicFramePr>
          <xdr:xfrm>
            <a:off x="0" y="0"/>
            <a:ext cx="0" cy="0"/>
          </xdr:xfrm>
          <a:graphic>
            <a:graphicData uri="http://schemas.microsoft.com/office/drawing/2010/slicer">
              <sle:slicer xmlns:sle="http://schemas.microsoft.com/office/drawing/2010/slicer" name="Name 2"/>
            </a:graphicData>
          </a:graphic>
        </xdr:graphicFrame>
      </mc:Choice>
      <mc:Fallback xmlns="">
        <xdr:sp macro="" textlink="">
          <xdr:nvSpPr>
            <xdr:cNvPr id="0" name=""/>
            <xdr:cNvSpPr>
              <a:spLocks noTextEdit="1"/>
            </xdr:cNvSpPr>
          </xdr:nvSpPr>
          <xdr:spPr>
            <a:xfrm>
              <a:off x="7141371" y="0"/>
              <a:ext cx="1894285" cy="1637759"/>
            </a:xfrm>
            <a:prstGeom prst="rect">
              <a:avLst/>
            </a:prstGeom>
            <a:solidFill>
              <a:prstClr val="white"/>
            </a:solidFill>
            <a:ln w="1">
              <a:solidFill>
                <a:prstClr val="green"/>
              </a:solidFill>
            </a:ln>
          </xdr:spPr>
          <xdr:txBody>
            <a:bodyPr vertOverflow="clip" horzOverflow="clip"/>
            <a:lstStyle/>
            <a:p>
              <a:r>
                <a:rPr lang="de-CH"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8</xdr:col>
      <xdr:colOff>1431134</xdr:colOff>
      <xdr:row>0</xdr:row>
      <xdr:rowOff>2381</xdr:rowOff>
    </xdr:from>
    <xdr:to>
      <xdr:col>10</xdr:col>
      <xdr:colOff>352425</xdr:colOff>
      <xdr:row>4</xdr:row>
      <xdr:rowOff>540</xdr:rowOff>
    </xdr:to>
    <mc:AlternateContent xmlns:mc="http://schemas.openxmlformats.org/markup-compatibility/2006" xmlns:a14="http://schemas.microsoft.com/office/drawing/2010/main">
      <mc:Choice Requires="a14">
        <xdr:graphicFrame macro="">
          <xdr:nvGraphicFramePr>
            <xdr:cNvPr id="4" name="Land 2">
              <a:extLst>
                <a:ext uri="{FF2B5EF4-FFF2-40B4-BE49-F238E27FC236}">
                  <a16:creationId xmlns:a16="http://schemas.microsoft.com/office/drawing/2014/main" id="{5803ADA0-4DDE-419D-A83D-9C5BBB055879}"/>
                </a:ext>
              </a:extLst>
            </xdr:cNvPr>
            <xdr:cNvGraphicFramePr/>
          </xdr:nvGraphicFramePr>
          <xdr:xfrm>
            <a:off x="0" y="0"/>
            <a:ext cx="0" cy="0"/>
          </xdr:xfrm>
          <a:graphic>
            <a:graphicData uri="http://schemas.microsoft.com/office/drawing/2010/slicer">
              <sle:slicer xmlns:sle="http://schemas.microsoft.com/office/drawing/2010/slicer" name="Land 2"/>
            </a:graphicData>
          </a:graphic>
        </xdr:graphicFrame>
      </mc:Choice>
      <mc:Fallback xmlns="">
        <xdr:sp macro="" textlink="">
          <xdr:nvSpPr>
            <xdr:cNvPr id="0" name=""/>
            <xdr:cNvSpPr>
              <a:spLocks noTextEdit="1"/>
            </xdr:cNvSpPr>
          </xdr:nvSpPr>
          <xdr:spPr>
            <a:xfrm>
              <a:off x="8965409" y="2381"/>
              <a:ext cx="1426366" cy="1636459"/>
            </a:xfrm>
            <a:prstGeom prst="rect">
              <a:avLst/>
            </a:prstGeom>
            <a:solidFill>
              <a:prstClr val="white"/>
            </a:solidFill>
            <a:ln w="1">
              <a:solidFill>
                <a:prstClr val="green"/>
              </a:solidFill>
            </a:ln>
          </xdr:spPr>
          <xdr:txBody>
            <a:bodyPr vertOverflow="clip" horzOverflow="clip"/>
            <a:lstStyle/>
            <a:p>
              <a:r>
                <a:rPr lang="de-CH"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10</xdr:col>
      <xdr:colOff>378622</xdr:colOff>
      <xdr:row>0</xdr:row>
      <xdr:rowOff>1191</xdr:rowOff>
    </xdr:from>
    <xdr:to>
      <xdr:col>27</xdr:col>
      <xdr:colOff>315519</xdr:colOff>
      <xdr:row>4</xdr:row>
      <xdr:rowOff>0</xdr:rowOff>
    </xdr:to>
    <mc:AlternateContent xmlns:mc="http://schemas.openxmlformats.org/markup-compatibility/2006" xmlns:a14="http://schemas.microsoft.com/office/drawing/2010/main">
      <mc:Choice Requires="a14">
        <xdr:graphicFrame macro="">
          <xdr:nvGraphicFramePr>
            <xdr:cNvPr id="5" name="Projekt 2">
              <a:extLst>
                <a:ext uri="{FF2B5EF4-FFF2-40B4-BE49-F238E27FC236}">
                  <a16:creationId xmlns:a16="http://schemas.microsoft.com/office/drawing/2014/main" id="{A46B7E52-9D5A-4D16-8BE8-C6F4EB74D485}"/>
                </a:ext>
              </a:extLst>
            </xdr:cNvPr>
            <xdr:cNvGraphicFramePr/>
          </xdr:nvGraphicFramePr>
          <xdr:xfrm>
            <a:off x="0" y="0"/>
            <a:ext cx="0" cy="0"/>
          </xdr:xfrm>
          <a:graphic>
            <a:graphicData uri="http://schemas.microsoft.com/office/drawing/2010/slicer">
              <sle:slicer xmlns:sle="http://schemas.microsoft.com/office/drawing/2010/slicer" name="Projekt 2"/>
            </a:graphicData>
          </a:graphic>
        </xdr:graphicFrame>
      </mc:Choice>
      <mc:Fallback xmlns="">
        <xdr:sp macro="" textlink="">
          <xdr:nvSpPr>
            <xdr:cNvPr id="0" name=""/>
            <xdr:cNvSpPr>
              <a:spLocks noTextEdit="1"/>
            </xdr:cNvSpPr>
          </xdr:nvSpPr>
          <xdr:spPr>
            <a:xfrm>
              <a:off x="10417972" y="1191"/>
              <a:ext cx="1841897" cy="1637109"/>
            </a:xfrm>
            <a:prstGeom prst="rect">
              <a:avLst/>
            </a:prstGeom>
            <a:solidFill>
              <a:prstClr val="white"/>
            </a:solidFill>
            <a:ln w="1">
              <a:solidFill>
                <a:prstClr val="green"/>
              </a:solidFill>
            </a:ln>
          </xdr:spPr>
          <xdr:txBody>
            <a:bodyPr vertOverflow="clip" horzOverflow="clip"/>
            <a:lstStyle/>
            <a:p>
              <a:r>
                <a:rPr lang="de-CH"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13</xdr:col>
      <xdr:colOff>320280</xdr:colOff>
      <xdr:row>0</xdr:row>
      <xdr:rowOff>3573</xdr:rowOff>
    </xdr:from>
    <xdr:to>
      <xdr:col>28</xdr:col>
      <xdr:colOff>21432</xdr:colOff>
      <xdr:row>4</xdr:row>
      <xdr:rowOff>1080</xdr:rowOff>
    </xdr:to>
    <mc:AlternateContent xmlns:mc="http://schemas.openxmlformats.org/markup-compatibility/2006" xmlns:a14="http://schemas.microsoft.com/office/drawing/2010/main">
      <mc:Choice Requires="a14">
        <xdr:graphicFrame macro="">
          <xdr:nvGraphicFramePr>
            <xdr:cNvPr id="6" name="Teilprojekt 2">
              <a:extLst>
                <a:ext uri="{FF2B5EF4-FFF2-40B4-BE49-F238E27FC236}">
                  <a16:creationId xmlns:a16="http://schemas.microsoft.com/office/drawing/2014/main" id="{5706730B-D51A-44E0-88C0-0B91D12B6A10}"/>
                </a:ext>
              </a:extLst>
            </xdr:cNvPr>
            <xdr:cNvGraphicFramePr/>
          </xdr:nvGraphicFramePr>
          <xdr:xfrm>
            <a:off x="0" y="0"/>
            <a:ext cx="0" cy="0"/>
          </xdr:xfrm>
          <a:graphic>
            <a:graphicData uri="http://schemas.microsoft.com/office/drawing/2010/slicer">
              <sle:slicer xmlns:sle="http://schemas.microsoft.com/office/drawing/2010/slicer" name="Teilprojekt 2"/>
            </a:graphicData>
          </a:graphic>
        </xdr:graphicFrame>
      </mc:Choice>
      <mc:Fallback xmlns="">
        <xdr:sp macro="" textlink="">
          <xdr:nvSpPr>
            <xdr:cNvPr id="0" name=""/>
            <xdr:cNvSpPr>
              <a:spLocks noTextEdit="1"/>
            </xdr:cNvSpPr>
          </xdr:nvSpPr>
          <xdr:spPr>
            <a:xfrm>
              <a:off x="10420350" y="3573"/>
              <a:ext cx="1926432" cy="1635807"/>
            </a:xfrm>
            <a:prstGeom prst="rect">
              <a:avLst/>
            </a:prstGeom>
            <a:solidFill>
              <a:prstClr val="white"/>
            </a:solidFill>
            <a:ln w="1">
              <a:solidFill>
                <a:prstClr val="green"/>
              </a:solidFill>
            </a:ln>
          </xdr:spPr>
          <xdr:txBody>
            <a:bodyPr vertOverflow="clip" horzOverflow="clip"/>
            <a:lstStyle/>
            <a:p>
              <a:r>
                <a:rPr lang="de-CH"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0</xdr:col>
      <xdr:colOff>232833</xdr:colOff>
      <xdr:row>4</xdr:row>
      <xdr:rowOff>137583</xdr:rowOff>
    </xdr:from>
    <xdr:to>
      <xdr:col>0</xdr:col>
      <xdr:colOff>1001818</xdr:colOff>
      <xdr:row>6</xdr:row>
      <xdr:rowOff>98584</xdr:rowOff>
    </xdr:to>
    <xdr:pic>
      <xdr:nvPicPr>
        <xdr:cNvPr id="7" name="Grafik 6">
          <a:extLst>
            <a:ext uri="{FF2B5EF4-FFF2-40B4-BE49-F238E27FC236}">
              <a16:creationId xmlns:a16="http://schemas.microsoft.com/office/drawing/2014/main" id="{D4C4135C-5359-44BF-838F-E593DD17620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2833" y="1013883"/>
          <a:ext cx="768985" cy="780151"/>
        </a:xfrm>
        <a:prstGeom prst="rect">
          <a:avLst/>
        </a:prstGeom>
      </xdr:spPr>
    </xdr:pic>
    <xdr:clientData/>
  </xdr:twoCellAnchor>
  <xdr:twoCellAnchor>
    <xdr:from>
      <xdr:col>0</xdr:col>
      <xdr:colOff>19050</xdr:colOff>
      <xdr:row>1</xdr:row>
      <xdr:rowOff>0</xdr:rowOff>
    </xdr:from>
    <xdr:to>
      <xdr:col>5</xdr:col>
      <xdr:colOff>19050</xdr:colOff>
      <xdr:row>1</xdr:row>
      <xdr:rowOff>190500</xdr:rowOff>
    </xdr:to>
    <xdr:sp macro="" textlink="">
      <xdr:nvSpPr>
        <xdr:cNvPr id="8" name="Textfeld 7">
          <a:extLst>
            <a:ext uri="{FF2B5EF4-FFF2-40B4-BE49-F238E27FC236}">
              <a16:creationId xmlns:a16="http://schemas.microsoft.com/office/drawing/2014/main" id="{4570D1C3-8E41-4180-A020-BDA18EFE43B7}"/>
            </a:ext>
          </a:extLst>
        </xdr:cNvPr>
        <xdr:cNvSpPr txBox="1"/>
      </xdr:nvSpPr>
      <xdr:spPr>
        <a:xfrm>
          <a:off x="19050" y="247650"/>
          <a:ext cx="6772275" cy="190500"/>
        </a:xfrm>
        <a:prstGeom prst="rect">
          <a:avLst/>
        </a:prstGeom>
        <a:solidFill>
          <a:schemeClr val="accent6">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CH" sz="1200" b="1">
              <a:solidFill>
                <a:schemeClr val="bg1"/>
              </a:solidFill>
              <a:latin typeface="Myriad Pro"/>
            </a:rPr>
            <a:t>Pays                       Projet       Projet partiel</a:t>
          </a:r>
          <a:r>
            <a:rPr lang="de-CH" sz="1200" b="1" baseline="0">
              <a:solidFill>
                <a:schemeClr val="bg1"/>
              </a:solidFill>
              <a:latin typeface="Myriad Pro"/>
            </a:rPr>
            <a:t>                          Nom       Domaine prioritaire</a:t>
          </a:r>
          <a:endParaRPr lang="de-CH" sz="1200" b="1">
            <a:solidFill>
              <a:schemeClr val="bg1"/>
            </a:solidFill>
            <a:latin typeface="Myriad Pro"/>
          </a:endParaRPr>
        </a:p>
      </xdr:txBody>
    </xdr:sp>
    <xdr:clientData/>
  </xdr:twoCellAnchor>
  <xdr:twoCellAnchor>
    <xdr:from>
      <xdr:col>0</xdr:col>
      <xdr:colOff>0</xdr:colOff>
      <xdr:row>1</xdr:row>
      <xdr:rowOff>13759</xdr:rowOff>
    </xdr:from>
    <xdr:to>
      <xdr:col>1</xdr:col>
      <xdr:colOff>10582</xdr:colOff>
      <xdr:row>4</xdr:row>
      <xdr:rowOff>169333</xdr:rowOff>
    </xdr:to>
    <xdr:sp macro="" textlink="">
      <xdr:nvSpPr>
        <xdr:cNvPr id="9" name="Textfeld 8">
          <a:extLst>
            <a:ext uri="{FF2B5EF4-FFF2-40B4-BE49-F238E27FC236}">
              <a16:creationId xmlns:a16="http://schemas.microsoft.com/office/drawing/2014/main" id="{681DD3F5-367A-420E-9B74-40FBCC8F6222}"/>
            </a:ext>
          </a:extLst>
        </xdr:cNvPr>
        <xdr:cNvSpPr txBox="1"/>
      </xdr:nvSpPr>
      <xdr:spPr>
        <a:xfrm>
          <a:off x="0" y="261409"/>
          <a:ext cx="1315507" cy="154622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a:t>Pays: </a:t>
          </a:r>
        </a:p>
        <a:p>
          <a:r>
            <a:rPr lang="de-CH" sz="1200" b="1"/>
            <a:t>X</a:t>
          </a:r>
          <a:endParaRPr lang="de-CH" sz="1100" b="1"/>
        </a:p>
        <a:p>
          <a:r>
            <a:rPr lang="de-CH" sz="1100"/>
            <a:t>Projet:</a:t>
          </a:r>
        </a:p>
        <a:p>
          <a:r>
            <a:rPr lang="de-CH" sz="1100" b="1"/>
            <a:t>X</a:t>
          </a:r>
        </a:p>
        <a:p>
          <a:r>
            <a:rPr lang="de-CH" sz="1100"/>
            <a:t>Projet</a:t>
          </a:r>
          <a:r>
            <a:rPr lang="de-CH" sz="1100" baseline="0"/>
            <a:t> partiel</a:t>
          </a:r>
          <a:r>
            <a:rPr lang="de-CH" sz="1100"/>
            <a:t>:</a:t>
          </a:r>
        </a:p>
        <a:p>
          <a:r>
            <a:rPr lang="de-CH" sz="1200" b="1"/>
            <a:t>X</a:t>
          </a:r>
          <a:endParaRPr lang="de-CH" sz="1100" b="1"/>
        </a:p>
        <a:p>
          <a:r>
            <a:rPr lang="de-CH" sz="1100"/>
            <a:t>Chef</a:t>
          </a:r>
          <a:r>
            <a:rPr lang="de-CH" sz="1100" baseline="0"/>
            <a:t> de projet</a:t>
          </a:r>
          <a:r>
            <a:rPr lang="de-CH" sz="1100"/>
            <a:t>:</a:t>
          </a:r>
          <a:endParaRPr lang="de-CH" sz="1200"/>
        </a:p>
        <a:p>
          <a:r>
            <a:rPr lang="de-CH" sz="1200" b="1"/>
            <a:t>X</a:t>
          </a:r>
          <a:endParaRPr lang="de-CH" sz="1100" b="1"/>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369096</xdr:colOff>
      <xdr:row>0</xdr:row>
      <xdr:rowOff>0</xdr:rowOff>
    </xdr:from>
    <xdr:to>
      <xdr:col>8</xdr:col>
      <xdr:colOff>1501381</xdr:colOff>
      <xdr:row>4</xdr:row>
      <xdr:rowOff>7914</xdr:rowOff>
    </xdr:to>
    <mc:AlternateContent xmlns:mc="http://schemas.openxmlformats.org/markup-compatibility/2006" xmlns:a14="http://schemas.microsoft.com/office/drawing/2010/main">
      <mc:Choice Requires="a14">
        <xdr:graphicFrame macro="">
          <xdr:nvGraphicFramePr>
            <xdr:cNvPr id="3" name="Name 3">
              <a:extLst>
                <a:ext uri="{FF2B5EF4-FFF2-40B4-BE49-F238E27FC236}">
                  <a16:creationId xmlns:a16="http://schemas.microsoft.com/office/drawing/2014/main" id="{75D6A92F-2E58-4450-8C8D-65E7B6BE6709}"/>
                </a:ext>
              </a:extLst>
            </xdr:cNvPr>
            <xdr:cNvGraphicFramePr/>
          </xdr:nvGraphicFramePr>
          <xdr:xfrm>
            <a:off x="0" y="0"/>
            <a:ext cx="0" cy="0"/>
          </xdr:xfrm>
          <a:graphic>
            <a:graphicData uri="http://schemas.microsoft.com/office/drawing/2010/slicer">
              <sle:slicer xmlns:sle="http://schemas.microsoft.com/office/drawing/2010/slicer" name="Name 3"/>
            </a:graphicData>
          </a:graphic>
        </xdr:graphicFrame>
      </mc:Choice>
      <mc:Fallback xmlns="">
        <xdr:sp macro="" textlink="">
          <xdr:nvSpPr>
            <xdr:cNvPr id="0" name=""/>
            <xdr:cNvSpPr>
              <a:spLocks noTextEdit="1"/>
            </xdr:cNvSpPr>
          </xdr:nvSpPr>
          <xdr:spPr>
            <a:xfrm>
              <a:off x="7141371" y="0"/>
              <a:ext cx="1894285" cy="1646214"/>
            </a:xfrm>
            <a:prstGeom prst="rect">
              <a:avLst/>
            </a:prstGeom>
            <a:solidFill>
              <a:prstClr val="white"/>
            </a:solidFill>
            <a:ln w="1">
              <a:solidFill>
                <a:prstClr val="green"/>
              </a:solidFill>
            </a:ln>
          </xdr:spPr>
          <xdr:txBody>
            <a:bodyPr vertOverflow="clip" horzOverflow="clip"/>
            <a:lstStyle/>
            <a:p>
              <a:r>
                <a:rPr lang="de-CH"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8</xdr:col>
      <xdr:colOff>1431134</xdr:colOff>
      <xdr:row>0</xdr:row>
      <xdr:rowOff>2381</xdr:rowOff>
    </xdr:from>
    <xdr:to>
      <xdr:col>10</xdr:col>
      <xdr:colOff>352425</xdr:colOff>
      <xdr:row>4</xdr:row>
      <xdr:rowOff>8988</xdr:rowOff>
    </xdr:to>
    <mc:AlternateContent xmlns:mc="http://schemas.openxmlformats.org/markup-compatibility/2006" xmlns:a14="http://schemas.microsoft.com/office/drawing/2010/main">
      <mc:Choice Requires="a14">
        <xdr:graphicFrame macro="">
          <xdr:nvGraphicFramePr>
            <xdr:cNvPr id="4" name="Land 3">
              <a:extLst>
                <a:ext uri="{FF2B5EF4-FFF2-40B4-BE49-F238E27FC236}">
                  <a16:creationId xmlns:a16="http://schemas.microsoft.com/office/drawing/2014/main" id="{F0800DDD-73FB-46AA-9413-DC644CD0F8F5}"/>
                </a:ext>
              </a:extLst>
            </xdr:cNvPr>
            <xdr:cNvGraphicFramePr/>
          </xdr:nvGraphicFramePr>
          <xdr:xfrm>
            <a:off x="0" y="0"/>
            <a:ext cx="0" cy="0"/>
          </xdr:xfrm>
          <a:graphic>
            <a:graphicData uri="http://schemas.microsoft.com/office/drawing/2010/slicer">
              <sle:slicer xmlns:sle="http://schemas.microsoft.com/office/drawing/2010/slicer" name="Land 3"/>
            </a:graphicData>
          </a:graphic>
        </xdr:graphicFrame>
      </mc:Choice>
      <mc:Fallback xmlns="">
        <xdr:sp macro="" textlink="">
          <xdr:nvSpPr>
            <xdr:cNvPr id="0" name=""/>
            <xdr:cNvSpPr>
              <a:spLocks noTextEdit="1"/>
            </xdr:cNvSpPr>
          </xdr:nvSpPr>
          <xdr:spPr>
            <a:xfrm>
              <a:off x="8965409" y="2381"/>
              <a:ext cx="1426366" cy="1644907"/>
            </a:xfrm>
            <a:prstGeom prst="rect">
              <a:avLst/>
            </a:prstGeom>
            <a:solidFill>
              <a:prstClr val="white"/>
            </a:solidFill>
            <a:ln w="1">
              <a:solidFill>
                <a:prstClr val="green"/>
              </a:solidFill>
            </a:ln>
          </xdr:spPr>
          <xdr:txBody>
            <a:bodyPr vertOverflow="clip" horzOverflow="clip"/>
            <a:lstStyle/>
            <a:p>
              <a:r>
                <a:rPr lang="de-CH"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10</xdr:col>
      <xdr:colOff>378622</xdr:colOff>
      <xdr:row>0</xdr:row>
      <xdr:rowOff>1191</xdr:rowOff>
    </xdr:from>
    <xdr:to>
      <xdr:col>27</xdr:col>
      <xdr:colOff>315519</xdr:colOff>
      <xdr:row>4</xdr:row>
      <xdr:rowOff>8451</xdr:rowOff>
    </xdr:to>
    <mc:AlternateContent xmlns:mc="http://schemas.openxmlformats.org/markup-compatibility/2006" xmlns:a14="http://schemas.microsoft.com/office/drawing/2010/main">
      <mc:Choice Requires="a14">
        <xdr:graphicFrame macro="">
          <xdr:nvGraphicFramePr>
            <xdr:cNvPr id="5" name="Projekt 3">
              <a:extLst>
                <a:ext uri="{FF2B5EF4-FFF2-40B4-BE49-F238E27FC236}">
                  <a16:creationId xmlns:a16="http://schemas.microsoft.com/office/drawing/2014/main" id="{1089202C-7AD5-454A-B405-4FBC4A9DD589}"/>
                </a:ext>
              </a:extLst>
            </xdr:cNvPr>
            <xdr:cNvGraphicFramePr/>
          </xdr:nvGraphicFramePr>
          <xdr:xfrm>
            <a:off x="0" y="0"/>
            <a:ext cx="0" cy="0"/>
          </xdr:xfrm>
          <a:graphic>
            <a:graphicData uri="http://schemas.microsoft.com/office/drawing/2010/slicer">
              <sle:slicer xmlns:sle="http://schemas.microsoft.com/office/drawing/2010/slicer" name="Projekt 3"/>
            </a:graphicData>
          </a:graphic>
        </xdr:graphicFrame>
      </mc:Choice>
      <mc:Fallback xmlns="">
        <xdr:sp macro="" textlink="">
          <xdr:nvSpPr>
            <xdr:cNvPr id="0" name=""/>
            <xdr:cNvSpPr>
              <a:spLocks noTextEdit="1"/>
            </xdr:cNvSpPr>
          </xdr:nvSpPr>
          <xdr:spPr>
            <a:xfrm>
              <a:off x="10417972" y="1191"/>
              <a:ext cx="1841897" cy="1645560"/>
            </a:xfrm>
            <a:prstGeom prst="rect">
              <a:avLst/>
            </a:prstGeom>
            <a:solidFill>
              <a:prstClr val="white"/>
            </a:solidFill>
            <a:ln w="1">
              <a:solidFill>
                <a:prstClr val="green"/>
              </a:solidFill>
            </a:ln>
          </xdr:spPr>
          <xdr:txBody>
            <a:bodyPr vertOverflow="clip" horzOverflow="clip"/>
            <a:lstStyle/>
            <a:p>
              <a:r>
                <a:rPr lang="de-CH"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13</xdr:col>
      <xdr:colOff>320280</xdr:colOff>
      <xdr:row>0</xdr:row>
      <xdr:rowOff>3573</xdr:rowOff>
    </xdr:from>
    <xdr:to>
      <xdr:col>28</xdr:col>
      <xdr:colOff>21432</xdr:colOff>
      <xdr:row>4</xdr:row>
      <xdr:rowOff>9525</xdr:rowOff>
    </xdr:to>
    <mc:AlternateContent xmlns:mc="http://schemas.openxmlformats.org/markup-compatibility/2006" xmlns:a14="http://schemas.microsoft.com/office/drawing/2010/main">
      <mc:Choice Requires="a14">
        <xdr:graphicFrame macro="">
          <xdr:nvGraphicFramePr>
            <xdr:cNvPr id="6" name="Teilprojekt 3">
              <a:extLst>
                <a:ext uri="{FF2B5EF4-FFF2-40B4-BE49-F238E27FC236}">
                  <a16:creationId xmlns:a16="http://schemas.microsoft.com/office/drawing/2014/main" id="{2275C3EA-CDE5-426C-B6BC-3A87402389B3}"/>
                </a:ext>
              </a:extLst>
            </xdr:cNvPr>
            <xdr:cNvGraphicFramePr/>
          </xdr:nvGraphicFramePr>
          <xdr:xfrm>
            <a:off x="0" y="0"/>
            <a:ext cx="0" cy="0"/>
          </xdr:xfrm>
          <a:graphic>
            <a:graphicData uri="http://schemas.microsoft.com/office/drawing/2010/slicer">
              <sle:slicer xmlns:sle="http://schemas.microsoft.com/office/drawing/2010/slicer" name="Teilprojekt 3"/>
            </a:graphicData>
          </a:graphic>
        </xdr:graphicFrame>
      </mc:Choice>
      <mc:Fallback xmlns="">
        <xdr:sp macro="" textlink="">
          <xdr:nvSpPr>
            <xdr:cNvPr id="0" name=""/>
            <xdr:cNvSpPr>
              <a:spLocks noTextEdit="1"/>
            </xdr:cNvSpPr>
          </xdr:nvSpPr>
          <xdr:spPr>
            <a:xfrm>
              <a:off x="10420350" y="3573"/>
              <a:ext cx="1926432" cy="1644252"/>
            </a:xfrm>
            <a:prstGeom prst="rect">
              <a:avLst/>
            </a:prstGeom>
            <a:solidFill>
              <a:prstClr val="white"/>
            </a:solidFill>
            <a:ln w="1">
              <a:solidFill>
                <a:prstClr val="green"/>
              </a:solidFill>
            </a:ln>
          </xdr:spPr>
          <xdr:txBody>
            <a:bodyPr vertOverflow="clip" horzOverflow="clip"/>
            <a:lstStyle/>
            <a:p>
              <a:r>
                <a:rPr lang="de-CH"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0</xdr:col>
      <xdr:colOff>209550</xdr:colOff>
      <xdr:row>4</xdr:row>
      <xdr:rowOff>171450</xdr:rowOff>
    </xdr:from>
    <xdr:to>
      <xdr:col>0</xdr:col>
      <xdr:colOff>975360</xdr:colOff>
      <xdr:row>6</xdr:row>
      <xdr:rowOff>136684</xdr:rowOff>
    </xdr:to>
    <xdr:pic>
      <xdr:nvPicPr>
        <xdr:cNvPr id="7" name="Grafik 6">
          <a:extLst>
            <a:ext uri="{FF2B5EF4-FFF2-40B4-BE49-F238E27FC236}">
              <a16:creationId xmlns:a16="http://schemas.microsoft.com/office/drawing/2014/main" id="{80D57BB3-7F0C-46DA-BEA8-1435DBE4AD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1047750"/>
          <a:ext cx="765810" cy="784384"/>
        </a:xfrm>
        <a:prstGeom prst="rect">
          <a:avLst/>
        </a:prstGeom>
      </xdr:spPr>
    </xdr:pic>
    <xdr:clientData/>
  </xdr:twoCellAnchor>
  <xdr:twoCellAnchor>
    <xdr:from>
      <xdr:col>0</xdr:col>
      <xdr:colOff>19050</xdr:colOff>
      <xdr:row>1</xdr:row>
      <xdr:rowOff>0</xdr:rowOff>
    </xdr:from>
    <xdr:to>
      <xdr:col>5</xdr:col>
      <xdr:colOff>19050</xdr:colOff>
      <xdr:row>1</xdr:row>
      <xdr:rowOff>190500</xdr:rowOff>
    </xdr:to>
    <xdr:sp macro="" textlink="">
      <xdr:nvSpPr>
        <xdr:cNvPr id="8" name="Textfeld 7">
          <a:extLst>
            <a:ext uri="{FF2B5EF4-FFF2-40B4-BE49-F238E27FC236}">
              <a16:creationId xmlns:a16="http://schemas.microsoft.com/office/drawing/2014/main" id="{FFEA49CC-54FF-4DD7-BD91-2A75782C0124}"/>
            </a:ext>
          </a:extLst>
        </xdr:cNvPr>
        <xdr:cNvSpPr txBox="1"/>
      </xdr:nvSpPr>
      <xdr:spPr>
        <a:xfrm>
          <a:off x="19050" y="247650"/>
          <a:ext cx="6772275" cy="1905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de-CH" sz="1200" b="1">
              <a:solidFill>
                <a:sysClr val="windowText" lastClr="000000"/>
              </a:solidFill>
              <a:latin typeface="Myriad Pro"/>
            </a:rPr>
            <a:t>Pays                       Projet       Projet partiel</a:t>
          </a:r>
          <a:r>
            <a:rPr lang="de-CH" sz="1200" b="1" baseline="0">
              <a:solidFill>
                <a:sysClr val="windowText" lastClr="000000"/>
              </a:solidFill>
              <a:latin typeface="Myriad Pro"/>
            </a:rPr>
            <a:t>                          Nom       Domaine prioritaire</a:t>
          </a:r>
          <a:endParaRPr lang="de-CH" sz="1200" b="1">
            <a:solidFill>
              <a:sysClr val="windowText" lastClr="000000"/>
            </a:solidFill>
            <a:latin typeface="Myriad Pro"/>
          </a:endParaRPr>
        </a:p>
      </xdr:txBody>
    </xdr:sp>
    <xdr:clientData/>
  </xdr:twoCellAnchor>
  <xdr:twoCellAnchor>
    <xdr:from>
      <xdr:col>0</xdr:col>
      <xdr:colOff>0</xdr:colOff>
      <xdr:row>1</xdr:row>
      <xdr:rowOff>13759</xdr:rowOff>
    </xdr:from>
    <xdr:to>
      <xdr:col>1</xdr:col>
      <xdr:colOff>10582</xdr:colOff>
      <xdr:row>4</xdr:row>
      <xdr:rowOff>169333</xdr:rowOff>
    </xdr:to>
    <xdr:sp macro="" textlink="">
      <xdr:nvSpPr>
        <xdr:cNvPr id="9" name="Textfeld 8">
          <a:extLst>
            <a:ext uri="{FF2B5EF4-FFF2-40B4-BE49-F238E27FC236}">
              <a16:creationId xmlns:a16="http://schemas.microsoft.com/office/drawing/2014/main" id="{9D41E45F-A1B4-4261-97C1-CF226321864B}"/>
            </a:ext>
          </a:extLst>
        </xdr:cNvPr>
        <xdr:cNvSpPr txBox="1"/>
      </xdr:nvSpPr>
      <xdr:spPr>
        <a:xfrm>
          <a:off x="0" y="261409"/>
          <a:ext cx="1315507" cy="154622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a:t>Pays: </a:t>
          </a:r>
        </a:p>
        <a:p>
          <a:r>
            <a:rPr lang="de-CH" sz="1200" b="1"/>
            <a:t>X</a:t>
          </a:r>
          <a:endParaRPr lang="de-CH" sz="1100" b="1"/>
        </a:p>
        <a:p>
          <a:r>
            <a:rPr lang="de-CH" sz="1100"/>
            <a:t>Projet:</a:t>
          </a:r>
        </a:p>
        <a:p>
          <a:r>
            <a:rPr lang="de-CH" sz="1100" b="1"/>
            <a:t>X</a:t>
          </a:r>
        </a:p>
        <a:p>
          <a:r>
            <a:rPr lang="de-CH" sz="1100"/>
            <a:t>Projet</a:t>
          </a:r>
          <a:r>
            <a:rPr lang="de-CH" sz="1100" baseline="0"/>
            <a:t> partiel</a:t>
          </a:r>
          <a:r>
            <a:rPr lang="de-CH" sz="1100"/>
            <a:t>:</a:t>
          </a:r>
        </a:p>
        <a:p>
          <a:r>
            <a:rPr lang="de-CH" sz="1200" b="1"/>
            <a:t>X</a:t>
          </a:r>
          <a:endParaRPr lang="de-CH" sz="1100" b="1"/>
        </a:p>
        <a:p>
          <a:r>
            <a:rPr lang="de-CH" sz="1100"/>
            <a:t>Chef</a:t>
          </a:r>
          <a:r>
            <a:rPr lang="de-CH" sz="1100" baseline="0"/>
            <a:t> de projet</a:t>
          </a:r>
          <a:r>
            <a:rPr lang="de-CH" sz="1100"/>
            <a:t>:</a:t>
          </a:r>
          <a:endParaRPr lang="de-CH" sz="1200"/>
        </a:p>
        <a:p>
          <a:r>
            <a:rPr lang="de-CH" sz="1200" b="1"/>
            <a:t>X</a:t>
          </a:r>
          <a:endParaRPr lang="de-CH" sz="1100" b="1"/>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as Zurbrügg" refreshedDate="44319.491402430554" createdVersion="6" refreshedVersion="6" minRefreshableVersion="3" recordCount="23" xr:uid="{AD747218-CE02-4BA1-9C16-33F4032A2EEE}">
  <cacheSource type="worksheet">
    <worksheetSource name="Haupttabelle"/>
  </cacheSource>
  <cacheFields count="57">
    <cacheField name="Index" numFmtId="0">
      <sharedItems containsSemiMixedTypes="0" containsString="0" containsNumber="1" containsInteger="1" minValue="1" maxValue="23"/>
    </cacheField>
    <cacheField name="start" numFmtId="22">
      <sharedItems containsSemiMixedTypes="0" containsNonDate="0" containsDate="1" containsString="0" minDate="2021-04-28T16:20:09" maxDate="2021-05-03T11:07:06"/>
    </cacheField>
    <cacheField name="end" numFmtId="22">
      <sharedItems containsSemiMixedTypes="0" containsNonDate="0" containsDate="1" containsString="0" minDate="2021-04-28T16:26:53" maxDate="2021-05-03T11:08:37"/>
    </cacheField>
    <cacheField name="Name" numFmtId="0">
      <sharedItems count="2">
        <s v="AZU"/>
        <s v="BRI"/>
      </sharedItems>
    </cacheField>
    <cacheField name="Land" numFmtId="0">
      <sharedItems count="11">
        <s v="Brasilien"/>
        <s v="Tschad"/>
        <s v="Angola"/>
        <s v="Burkina_Faso"/>
        <s v="China"/>
        <s v="Guinea"/>
        <s v="Indien"/>
        <s v="Kambodscha"/>
        <s v="Kamerun"/>
        <s v="Nepal"/>
        <s v="Sri_Lanka"/>
      </sharedItems>
    </cacheField>
    <cacheField name="Projekt" numFmtId="0">
      <sharedItems count="13">
        <s v="Maos_que_Criam"/>
        <s v="ProRadja"/>
        <s v="ProRibeirinho"/>
        <s v="ProEQUIP_Angola"/>
        <s v="EE_SIM"/>
        <s v="ProSichuan"/>
        <s v="ActionVivre_Ost"/>
        <s v="ProEquip_Indien"/>
        <s v="Lighthouse_Battambang"/>
        <s v="ProSalaam"/>
        <s v="ProUdyami"/>
        <s v="ProEquip_Sri_Lanka"/>
        <s v="CCS"/>
      </sharedItems>
    </cacheField>
    <cacheField name="Teilprojekt" numFmtId="0">
      <sharedItems count="15">
        <s v="TP_Maos_que_Criam"/>
        <s v="Oasis"/>
        <s v="TP1_Spiritualitaet"/>
        <s v="TP_ProEQUIP_Angola"/>
        <s v="CEFM"/>
        <s v="Alpabetisierung_CRDF"/>
        <s v="Berufsbildung_Englisch_IT"/>
        <s v="HFCI"/>
        <s v="Serving"/>
        <s v="UEEC_generell"/>
        <s v="ProUdyami_TP"/>
        <s v="ProEquip_Sri_Lanka"/>
        <s v="Schulbildung_ProRadja"/>
        <s v="Kontaktarbeit_ProRadja"/>
        <s v="TP_CCS"/>
      </sharedItems>
    </cacheField>
    <cacheField name="Schwerpunkt" numFmtId="0">
      <sharedItems count="4">
        <s v="Grund_und_Berufsbildung"/>
        <s v="medizinische_Arbeit_und_Prävention"/>
        <s v="theologische_Bildung_und_Praxis"/>
        <s v="Verbesserung_der_Lebensgrundlagen"/>
      </sharedItems>
    </cacheField>
    <cacheField name="Waehle_Indikator" numFmtId="0">
      <sharedItems/>
    </cacheField>
    <cacheField name="Waehle_Indikator/I_10a" numFmtId="0">
      <sharedItems/>
    </cacheField>
    <cacheField name="Waehle_Indikator/I_10b" numFmtId="0">
      <sharedItems count="2">
        <b v="0"/>
        <b v="1"/>
      </sharedItems>
    </cacheField>
    <cacheField name="Waehle_Indikator/I_10c" numFmtId="0">
      <sharedItems/>
    </cacheField>
    <cacheField name="Waehle_Indikator/I_20" numFmtId="0">
      <sharedItems/>
    </cacheField>
    <cacheField name="Waehle_Indikator/I_21" numFmtId="0">
      <sharedItems/>
    </cacheField>
    <cacheField name="Waehle_Indikator/I_30" numFmtId="0">
      <sharedItems/>
    </cacheField>
    <cacheField name="Waehle_Indikator/I_40" numFmtId="0">
      <sharedItems/>
    </cacheField>
    <cacheField name="Waehle_Indikator/I_41" numFmtId="0">
      <sharedItems/>
    </cacheField>
    <cacheField name="Waehle_Indikator/I_50" numFmtId="0">
      <sharedItems/>
    </cacheField>
    <cacheField name="Waehle_Indikator/I_51" numFmtId="0">
      <sharedItems/>
    </cacheField>
    <cacheField name="Waehle_Indikator/I_52" numFmtId="0">
      <sharedItems/>
    </cacheField>
    <cacheField name="Waehle_Indikator/I_53" numFmtId="0">
      <sharedItems/>
    </cacheField>
    <cacheField name="Waehle_Indikator/I_54" numFmtId="0">
      <sharedItems/>
    </cacheField>
    <cacheField name="Waehle_Indikator/I_60" numFmtId="0">
      <sharedItems/>
    </cacheField>
    <cacheField name="Waehle_Indikator/I_61" numFmtId="0">
      <sharedItems count="2">
        <b v="0"/>
        <b v="1"/>
      </sharedItems>
    </cacheField>
    <cacheField name="Waehle_Indikator/I_70" numFmtId="0">
      <sharedItems/>
    </cacheField>
    <cacheField name="I_10a_Zunahme_Eigenfinanzierun" numFmtId="0">
      <sharedItems containsString="0" containsBlank="1" containsNumber="1" containsInteger="1" minValue="10" maxValue="20"/>
    </cacheField>
    <cacheField name="group_I_10b_Personelle_Abhaeng/I_10b_Abnahme_pers_Abhaengigke" numFmtId="0">
      <sharedItems containsBlank="1"/>
    </cacheField>
    <cacheField name="group_I_10b_Personelle_Abhaeng/Verantwortung_uebernommen" numFmtId="0">
      <sharedItems containsBlank="1"/>
    </cacheField>
    <cacheField name="group_I_20_Verantw_uebernommen/Anzahl_Jungen_Maenner_I20" numFmtId="0">
      <sharedItems containsString="0" containsBlank="1" containsNumber="1" containsInteger="1" minValue="1" maxValue="4"/>
    </cacheField>
    <cacheField name="group_I_20_Verantw_uebernommen/Anzahl_Maedchen_Frauen_I20" numFmtId="0">
      <sharedItems containsString="0" containsBlank="1" containsNumber="1" containsInteger="1" minValue="1" maxValue="4"/>
    </cacheField>
    <cacheField name="group_I_20_Verantw_uebernommen/Veraenderung_bei_Beguenstigten" numFmtId="0">
      <sharedItems containsBlank="1"/>
    </cacheField>
    <cacheField name="group_I_20_Verantw_uebernommen/Erzaehle_Geschichte" numFmtId="0">
      <sharedItems containsBlank="1"/>
    </cacheField>
    <cacheField name="group_I_21_lebensv_Entwicklung/Geschichte_lebensv_Erfahrung" numFmtId="0">
      <sharedItems containsBlank="1" count="10">
        <m/>
        <s v="Das ist eine Geschichte aus der Oase"/>
        <s v="Geschichte aus Brasilien"/>
        <s v="asfsadfsdaf"/>
        <s v="asdfsadf"/>
        <s v="Das ist die Geschichte aus der Oase"/>
        <s v="asdfsdfsf"/>
        <s v="Histoire du Burkina"/>
        <s v="safasfsdafdf"/>
        <s v="Story aus Sri Lanka"/>
      </sharedItems>
    </cacheField>
    <cacheField name="group_I_21_lebensv_Entwicklung/Foto_hochladen" numFmtId="0">
      <sharedItems containsBlank="1" count="5">
        <m/>
        <s v="Gebet des Jabez-9_9_40.jpg"/>
        <s v="Gebet des Jabez-9_45_25.jpg"/>
        <s v="AZU1-10_16_56.jpg"/>
        <s v="20200125_175953-11_8_6.jpg"/>
      </sharedItems>
    </cacheField>
    <cacheField name="group_I_21_lebensv_Entwicklung/zweites_Photo" numFmtId="0">
      <sharedItems containsBlank="1" count="2">
        <m/>
        <s v="20200125_160423-11_8_34.jpg"/>
      </sharedItems>
    </cacheField>
    <cacheField name="I_30_Veraenderung_System" numFmtId="0">
      <sharedItems containsBlank="1"/>
    </cacheField>
    <cacheField name="group_I_60_Beguenstigte/Beguenstigte" numFmtId="0">
      <sharedItems containsBlank="1" count="14">
        <s v="I_60b_E_Anzahl_Berufsschuler"/>
        <s v="I_60a_M_Anzahl_Konsultationen"/>
        <s v="i_60a_T_Anzahl_Aus_bzw_Weitergebildete"/>
        <m/>
        <s v="I_60a_E_Anzahl_Grundschuler"/>
        <s v="I_60c_E_Anzahl_ausserschulische_Angebote"/>
        <s v="I_60b_M_Anzahl_Sensibilisierte"/>
        <s v="I_60c_M_Anzahl_chirurgische_Eingriffe"/>
        <s v="I_60a_L_Anzahl_Geschulte"/>
        <s v="I_60c_L_Anzahl_Sensibilisierte"/>
        <s v="I_60c_L_Anzahl_direkt_Begünstigte"/>
        <s v="i_60b_T_Anzahl_Begunstigte_von_kirchlich"/>
        <s v="i_60c_T_Anzahl_Sensiblisierte_in_Kursen"/>
        <s v="I_60a_E_Anzahl_Berufsschuler" u="1"/>
      </sharedItems>
    </cacheField>
    <cacheField name="group_I_60_Beguenstigte/Anzahl_Jungen_Maenner_I60" numFmtId="0">
      <sharedItems containsString="0" containsBlank="1" containsNumber="1" containsInteger="1" minValue="1" maxValue="150"/>
    </cacheField>
    <cacheField name="group_I_60_Beguenstigte/Anzahl_Maedchen_Frauen_I60" numFmtId="0">
      <sharedItems containsString="0" containsBlank="1" containsNumber="1" containsInteger="1" minValue="1" maxValue="175"/>
    </cacheField>
    <cacheField name="group_I_61_geistlich_Beguensti/I_61_Art_der_Beguenstigung" numFmtId="0">
      <sharedItems containsBlank="1"/>
    </cacheField>
    <cacheField name="group_I_61_geistlich_Beguensti/Anzahl_Jungen_Maenner_I61" numFmtId="0">
      <sharedItems containsString="0" containsBlank="1" containsNumber="1" containsInteger="1" minValue="1" maxValue="55"/>
    </cacheField>
    <cacheField name="group_I_61_geistlich_Beguensti/Anzahl_Maedchen_Frauen_I61" numFmtId="0">
      <sharedItems containsString="0" containsBlank="1" containsNumber="1" containsInteger="1" minValue="1" maxValue="66"/>
    </cacheField>
    <cacheField name="__version__" numFmtId="0">
      <sharedItems/>
    </cacheField>
    <cacheField name="_version_" numFmtId="0">
      <sharedItems containsBlank="1"/>
    </cacheField>
    <cacheField name="_version__001" numFmtId="0">
      <sharedItems containsBlank="1"/>
    </cacheField>
    <cacheField name="_version__002" numFmtId="0">
      <sharedItems containsBlank="1"/>
    </cacheField>
    <cacheField name="_version__003" numFmtId="0">
      <sharedItems containsBlank="1"/>
    </cacheField>
    <cacheField name="_version__004" numFmtId="0">
      <sharedItems containsBlank="1"/>
    </cacheField>
    <cacheField name="meta/instanceID" numFmtId="0">
      <sharedItems/>
    </cacheField>
    <cacheField name="_id" numFmtId="0">
      <sharedItems containsSemiMixedTypes="0" containsString="0" containsNumber="1" containsInteger="1" minValue="174531180" maxValue="175507378"/>
    </cacheField>
    <cacheField name="_uuid" numFmtId="0">
      <sharedItems/>
    </cacheField>
    <cacheField name="_submission_time" numFmtId="22">
      <sharedItems containsSemiMixedTypes="0" containsNonDate="0" containsDate="1" containsString="0" minDate="2021-04-28T14:27:03" maxDate="2021-05-03T09:08:48"/>
    </cacheField>
    <cacheField name="_index" numFmtId="0">
      <sharedItems containsSemiMixedTypes="0" containsString="0" containsNumber="1" containsInteger="1" minValue="1" maxValue="23"/>
    </cacheField>
    <cacheField name="_parent_table_name" numFmtId="0">
      <sharedItems containsNonDate="0" containsString="0" containsBlank="1"/>
    </cacheField>
    <cacheField name="_parent_index" numFmtId="0">
      <sharedItems containsSemiMixedTypes="0" containsString="0" containsNumber="1" containsInteger="1" minValue="-1" maxValue="-1"/>
    </cacheField>
    <cacheField name="_tags" numFmtId="0">
      <sharedItems/>
    </cacheField>
    <cacheField name="_notes" numFmtId="0">
      <sharedItems/>
    </cacheField>
  </cacheFields>
  <extLst>
    <ext xmlns:x14="http://schemas.microsoft.com/office/spreadsheetml/2009/9/main" uri="{725AE2AE-9491-48be-B2B4-4EB974FC3084}">
      <x14:pivotCacheDefinition pivotCacheId="1250323087"/>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
  <r>
    <n v="1"/>
    <d v="2021-04-28T20:35:34"/>
    <d v="2021-04-28T20:35:55"/>
    <x v="0"/>
    <x v="0"/>
    <x v="0"/>
    <x v="0"/>
    <x v="0"/>
    <s v="I_60"/>
    <b v="0"/>
    <x v="0"/>
    <b v="0"/>
    <b v="0"/>
    <b v="0"/>
    <b v="0"/>
    <b v="0"/>
    <b v="0"/>
    <b v="0"/>
    <b v="0"/>
    <b v="0"/>
    <b v="0"/>
    <b v="0"/>
    <b v="1"/>
    <x v="0"/>
    <b v="0"/>
    <m/>
    <m/>
    <m/>
    <m/>
    <m/>
    <m/>
    <m/>
    <x v="0"/>
    <x v="0"/>
    <x v="0"/>
    <m/>
    <x v="0"/>
    <n v="4"/>
    <n v="5"/>
    <m/>
    <m/>
    <m/>
    <s v="v6qWupgkb4ivwGCo66dxJ3"/>
    <s v="vRKnGjRPLGHATg2tCRn9TE"/>
    <s v="vCxnP55UsxXQXVVUy9foeR"/>
    <s v="vFujGdNreKZ3wDtJUr427m"/>
    <s v="v6yWmNSE3q2ZBg8XrLTBBy"/>
    <s v="vuaGzpUkdyEEJBdEAwN9cr"/>
    <s v="uuid:3df573b0-e04e-48a9-b2fe-c0402b8d5557"/>
    <n v="174598046"/>
    <s v="3df573b0-e04e-48a9-b2fe-c0402b8d5557"/>
    <d v="2021-04-28T18:36:04"/>
    <n v="1"/>
    <m/>
    <n v="-1"/>
    <s v=""/>
    <s v=""/>
  </r>
  <r>
    <n v="2"/>
    <d v="2021-04-28T16:20:09"/>
    <d v="2021-04-28T16:26:53"/>
    <x v="0"/>
    <x v="1"/>
    <x v="1"/>
    <x v="1"/>
    <x v="1"/>
    <s v="I_10a I_10b I_10c I_20 I_21 I_30 I_40 I_41 I_50 I_51 I_52 I_53 I_54 I_60 I_61 I_70"/>
    <b v="1"/>
    <x v="1"/>
    <b v="1"/>
    <b v="1"/>
    <b v="1"/>
    <b v="1"/>
    <b v="1"/>
    <b v="1"/>
    <b v="1"/>
    <b v="1"/>
    <b v="1"/>
    <b v="1"/>
    <b v="1"/>
    <b v="1"/>
    <x v="1"/>
    <b v="1"/>
    <n v="10"/>
    <s v="ja"/>
    <s v="Moussa hat Verantwortung übernommen"/>
    <n v="3"/>
    <n v="4"/>
    <s v="könnenn hygienischer Arbeiten"/>
    <s v="ja"/>
    <x v="1"/>
    <x v="0"/>
    <x v="0"/>
    <s v="Veränderung auf Systemebene in der Oase und darüber hinaus."/>
    <x v="1"/>
    <n v="44"/>
    <n v="55"/>
    <s v="Gebetet mit ..."/>
    <n v="3"/>
    <n v="4"/>
    <s v="v6qWupgkb4ivwGCo66dxJ3"/>
    <s v="vRKnGjRPLGHATg2tCRn9TE"/>
    <s v="vCxnP55UsxXQXVVUy9foeR"/>
    <s v="vFujGdNreKZ3wDtJUr427m"/>
    <s v="v6yWmNSE3q2ZBg8XrLTBBy"/>
    <s v="v6hpM5kDVnYZMsizWC4y8a"/>
    <s v="uuid:4f77225e-6d9a-4d1a-80b0-b30acf55b5c3"/>
    <n v="174531180"/>
    <s v="4f77225e-6d9a-4d1a-80b0-b30acf55b5c3"/>
    <d v="2021-04-28T14:27:03"/>
    <n v="2"/>
    <m/>
    <n v="-1"/>
    <s v=""/>
    <s v=""/>
  </r>
  <r>
    <n v="3"/>
    <d v="2021-04-28T16:26:53"/>
    <d v="2021-04-28T16:33:39"/>
    <x v="1"/>
    <x v="0"/>
    <x v="2"/>
    <x v="2"/>
    <x v="2"/>
    <s v="I_10a I_10b I_10c I_20 I_21 I_30 I_40 I_41 I_50 I_51 I_52 I_53 I_54 I_60 I_61 I_70"/>
    <b v="1"/>
    <x v="1"/>
    <b v="1"/>
    <b v="1"/>
    <b v="1"/>
    <b v="1"/>
    <b v="1"/>
    <b v="1"/>
    <b v="1"/>
    <b v="1"/>
    <b v="1"/>
    <b v="1"/>
    <b v="1"/>
    <b v="1"/>
    <x v="1"/>
    <b v="1"/>
    <n v="20"/>
    <s v="ja"/>
    <s v="Marcel hat Verantwortung übernommen"/>
    <n v="3"/>
    <n v="3"/>
    <s v="Sind selbständig geworden"/>
    <s v="ja"/>
    <x v="2"/>
    <x v="0"/>
    <x v="0"/>
    <s v="Veränderung auf Systemebene in Brasilien"/>
    <x v="2"/>
    <n v="4"/>
    <n v="4"/>
    <s v="haben Predigt gehört"/>
    <n v="55"/>
    <n v="66"/>
    <s v="v6qWupgkb4ivwGCo66dxJ3"/>
    <s v="vRKnGjRPLGHATg2tCRn9TE"/>
    <s v="vCxnP55UsxXQXVVUy9foeR"/>
    <s v="vFujGdNreKZ3wDtJUr427m"/>
    <s v="v6yWmNSE3q2ZBg8XrLTBBy"/>
    <s v="v6hpM5kDVnYZMsizWC4y8a"/>
    <s v="uuid:b5b523f8-b4ab-4fe0-9dfd-06c93353726e"/>
    <n v="174533502"/>
    <s v="b5b523f8-b4ab-4fe0-9dfd-06c93353726e"/>
    <d v="2021-04-28T14:33:50"/>
    <n v="3"/>
    <m/>
    <n v="-1"/>
    <s v=""/>
    <s v=""/>
  </r>
  <r>
    <n v="4"/>
    <d v="2021-04-28T18:14:32"/>
    <d v="2021-04-28T18:14:46"/>
    <x v="0"/>
    <x v="2"/>
    <x v="3"/>
    <x v="3"/>
    <x v="0"/>
    <s v="I_10a"/>
    <b v="1"/>
    <x v="0"/>
    <b v="0"/>
    <b v="0"/>
    <b v="0"/>
    <b v="0"/>
    <b v="0"/>
    <b v="0"/>
    <b v="0"/>
    <b v="0"/>
    <b v="0"/>
    <b v="0"/>
    <b v="0"/>
    <b v="0"/>
    <x v="0"/>
    <b v="0"/>
    <n v="12"/>
    <m/>
    <m/>
    <m/>
    <m/>
    <m/>
    <m/>
    <x v="0"/>
    <x v="0"/>
    <x v="0"/>
    <m/>
    <x v="3"/>
    <m/>
    <m/>
    <m/>
    <m/>
    <m/>
    <s v="v6qWupgkb4ivwGCo66dxJ3"/>
    <s v="vRKnGjRPLGHATg2tCRn9TE"/>
    <s v="vCxnP55UsxXQXVVUy9foeR"/>
    <s v="vFujGdNreKZ3wDtJUr427m"/>
    <s v="v6yWmNSE3q2ZBg8XrLTBBy"/>
    <s v="vHAiJUKmt3UmVgVzZy5s57"/>
    <s v="uuid:e4ebacaa-c63d-4cf1-a47d-28d762faaaf3"/>
    <n v="174565150"/>
    <s v="e4ebacaa-c63d-4cf1-a47d-28d762faaaf3"/>
    <d v="2021-04-28T16:14:56"/>
    <n v="4"/>
    <m/>
    <n v="-1"/>
    <s v=""/>
    <s v=""/>
  </r>
  <r>
    <n v="5"/>
    <d v="2021-04-28T17:39:57"/>
    <d v="2021-04-28T17:44:07"/>
    <x v="0"/>
    <x v="2"/>
    <x v="3"/>
    <x v="3"/>
    <x v="0"/>
    <s v="I_10b I_20 I_60 I_61"/>
    <b v="0"/>
    <x v="1"/>
    <b v="0"/>
    <b v="1"/>
    <b v="0"/>
    <b v="0"/>
    <b v="0"/>
    <b v="0"/>
    <b v="0"/>
    <b v="0"/>
    <b v="0"/>
    <b v="0"/>
    <b v="0"/>
    <b v="1"/>
    <x v="1"/>
    <b v="0"/>
    <m/>
    <s v="ja"/>
    <s v="A von b"/>
    <n v="3"/>
    <n v="3"/>
    <s v="Veränderung 1"/>
    <s v="nein"/>
    <x v="0"/>
    <x v="0"/>
    <x v="0"/>
    <m/>
    <x v="4"/>
    <n v="1"/>
    <n v="1"/>
    <s v="sdafsadf"/>
    <n v="1"/>
    <n v="1"/>
    <s v="v6qWupgkb4ivwGCo66dxJ3"/>
    <s v="vRKnGjRPLGHATg2tCRn9TE"/>
    <s v="vCxnP55UsxXQXVVUy9foeR"/>
    <s v="vFujGdNreKZ3wDtJUr427m"/>
    <s v="v6yWmNSE3q2ZBg8XrLTBBy"/>
    <s v="v6hpM5kDVnYZMsizWC4y8a"/>
    <s v="uuid:ae5656c4-4dcc-4e65-af85-ae7cdc23c2f9"/>
    <n v="174556486"/>
    <s v="ae5656c4-4dcc-4e65-af85-ae7cdc23c2f9"/>
    <d v="2021-04-28T15:44:17"/>
    <n v="5"/>
    <m/>
    <n v="-1"/>
    <s v=""/>
    <s v=""/>
  </r>
  <r>
    <n v="6"/>
    <d v="2021-04-28T17:44:07"/>
    <d v="2021-04-28T20:39:29"/>
    <x v="0"/>
    <x v="0"/>
    <x v="0"/>
    <x v="0"/>
    <x v="0"/>
    <s v="I_60"/>
    <b v="0"/>
    <x v="0"/>
    <b v="0"/>
    <b v="0"/>
    <b v="0"/>
    <b v="0"/>
    <b v="0"/>
    <b v="0"/>
    <b v="0"/>
    <b v="0"/>
    <b v="0"/>
    <b v="0"/>
    <b v="0"/>
    <b v="1"/>
    <x v="0"/>
    <b v="0"/>
    <m/>
    <m/>
    <m/>
    <m/>
    <m/>
    <m/>
    <m/>
    <x v="0"/>
    <x v="0"/>
    <x v="0"/>
    <m/>
    <x v="0"/>
    <n v="1"/>
    <n v="1"/>
    <m/>
    <m/>
    <m/>
    <s v="v6qWupgkb4ivwGCo66dxJ3"/>
    <s v="vRKnGjRPLGHATg2tCRn9TE"/>
    <s v="vCxnP55UsxXQXVVUy9foeR"/>
    <s v="vFujGdNreKZ3wDtJUr427m"/>
    <s v="v6yWmNSE3q2ZBg8XrLTBBy"/>
    <s v="vuaGzpUkdyEEJBdEAwN9cr"/>
    <s v="uuid:2d92d24e-700e-4d8f-9515-d1a3af08d327"/>
    <n v="174556586"/>
    <s v="2d92d24e-700e-4d8f-9515-d1a3af08d327"/>
    <d v="2021-04-28T15:44:45"/>
    <n v="6"/>
    <m/>
    <n v="-1"/>
    <s v=""/>
    <s v=""/>
  </r>
  <r>
    <n v="7"/>
    <d v="2021-04-28T17:44:35"/>
    <d v="2021-04-28T17:44:58"/>
    <x v="0"/>
    <x v="3"/>
    <x v="4"/>
    <x v="4"/>
    <x v="0"/>
    <s v="I_60"/>
    <b v="0"/>
    <x v="0"/>
    <b v="0"/>
    <b v="0"/>
    <b v="0"/>
    <b v="0"/>
    <b v="0"/>
    <b v="0"/>
    <b v="0"/>
    <b v="0"/>
    <b v="0"/>
    <b v="0"/>
    <b v="0"/>
    <b v="1"/>
    <x v="0"/>
    <b v="0"/>
    <m/>
    <m/>
    <m/>
    <m/>
    <m/>
    <m/>
    <m/>
    <x v="0"/>
    <x v="0"/>
    <x v="0"/>
    <m/>
    <x v="5"/>
    <n v="1"/>
    <n v="1"/>
    <m/>
    <m/>
    <m/>
    <s v="v6qWupgkb4ivwGCo66dxJ3"/>
    <s v="vRKnGjRPLGHATg2tCRn9TE"/>
    <s v="vCxnP55UsxXQXVVUy9foeR"/>
    <s v="vFujGdNreKZ3wDtJUr427m"/>
    <s v="v6yWmNSE3q2ZBg8XrLTBBy"/>
    <s v="v6hpM5kDVnYZMsizWC4y8a"/>
    <s v="uuid:8055699d-9232-4827-98d7-b42daa0a21b6"/>
    <n v="174556640"/>
    <s v="8055699d-9232-4827-98d7-b42daa0a21b6"/>
    <d v="2021-04-28T15:45:08"/>
    <n v="7"/>
    <m/>
    <n v="-1"/>
    <s v=""/>
    <s v=""/>
  </r>
  <r>
    <n v="8"/>
    <d v="2021-04-28T17:44:58"/>
    <d v="2021-04-28T17:46:18"/>
    <x v="0"/>
    <x v="4"/>
    <x v="5"/>
    <x v="5"/>
    <x v="1"/>
    <s v="I_10b I_20 I_60 I_61"/>
    <b v="0"/>
    <x v="1"/>
    <b v="0"/>
    <b v="1"/>
    <b v="0"/>
    <b v="0"/>
    <b v="0"/>
    <b v="0"/>
    <b v="0"/>
    <b v="0"/>
    <b v="0"/>
    <b v="0"/>
    <b v="0"/>
    <b v="1"/>
    <x v="1"/>
    <b v="0"/>
    <m/>
    <s v="ja"/>
    <s v="sdafasf"/>
    <n v="1"/>
    <n v="1"/>
    <s v="dsafgaf"/>
    <s v="ja"/>
    <x v="3"/>
    <x v="0"/>
    <x v="0"/>
    <m/>
    <x v="6"/>
    <n v="2"/>
    <n v="2"/>
    <s v="asdfadsf"/>
    <n v="2"/>
    <n v="2"/>
    <s v="v6qWupgkb4ivwGCo66dxJ3"/>
    <s v="vRKnGjRPLGHATg2tCRn9TE"/>
    <s v="vCxnP55UsxXQXVVUy9foeR"/>
    <s v="vFujGdNreKZ3wDtJUr427m"/>
    <s v="v6yWmNSE3q2ZBg8XrLTBBy"/>
    <s v="v6hpM5kDVnYZMsizWC4y8a"/>
    <s v="uuid:901f9419-72d2-40d7-b161-171d4a4b06d7"/>
    <n v="174556979"/>
    <s v="901f9419-72d2-40d7-b161-171d4a4b06d7"/>
    <d v="2021-04-28T15:46:28"/>
    <n v="8"/>
    <m/>
    <n v="-1"/>
    <s v=""/>
    <s v=""/>
  </r>
  <r>
    <n v="9"/>
    <d v="2021-04-28T17:46:19"/>
    <d v="2021-04-28T17:46:45"/>
    <x v="1"/>
    <x v="5"/>
    <x v="6"/>
    <x v="6"/>
    <x v="1"/>
    <s v="I_60"/>
    <b v="0"/>
    <x v="0"/>
    <b v="0"/>
    <b v="0"/>
    <b v="0"/>
    <b v="0"/>
    <b v="0"/>
    <b v="0"/>
    <b v="0"/>
    <b v="0"/>
    <b v="0"/>
    <b v="0"/>
    <b v="0"/>
    <b v="1"/>
    <x v="0"/>
    <b v="0"/>
    <m/>
    <m/>
    <m/>
    <m/>
    <m/>
    <m/>
    <m/>
    <x v="0"/>
    <x v="0"/>
    <x v="0"/>
    <m/>
    <x v="7"/>
    <n v="3"/>
    <n v="3"/>
    <m/>
    <m/>
    <m/>
    <s v="v6qWupgkb4ivwGCo66dxJ3"/>
    <s v="vRKnGjRPLGHATg2tCRn9TE"/>
    <s v="vCxnP55UsxXQXVVUy9foeR"/>
    <s v="vFujGdNreKZ3wDtJUr427m"/>
    <s v="v6yWmNSE3q2ZBg8XrLTBBy"/>
    <s v="v6hpM5kDVnYZMsizWC4y8a"/>
    <s v="uuid:8e91bf26-77de-45f1-be48-3f5501003266"/>
    <n v="174557185"/>
    <s v="8e91bf26-77de-45f1-be48-3f5501003266"/>
    <d v="2021-04-28T15:46:55"/>
    <n v="9"/>
    <m/>
    <n v="-1"/>
    <s v=""/>
    <s v=""/>
  </r>
  <r>
    <n v="10"/>
    <d v="2021-04-28T17:46:45"/>
    <d v="2021-04-28T17:47:43"/>
    <x v="1"/>
    <x v="6"/>
    <x v="7"/>
    <x v="7"/>
    <x v="3"/>
    <s v="I_10b I_20 I_60 I_61"/>
    <b v="0"/>
    <x v="1"/>
    <b v="0"/>
    <b v="1"/>
    <b v="0"/>
    <b v="0"/>
    <b v="0"/>
    <b v="0"/>
    <b v="0"/>
    <b v="0"/>
    <b v="0"/>
    <b v="0"/>
    <b v="0"/>
    <b v="1"/>
    <x v="1"/>
    <b v="0"/>
    <m/>
    <s v="ja"/>
    <s v="sadfasf"/>
    <n v="3"/>
    <n v="3"/>
    <s v="asdfsafd"/>
    <s v="ja"/>
    <x v="4"/>
    <x v="0"/>
    <x v="0"/>
    <m/>
    <x v="8"/>
    <n v="5"/>
    <n v="5"/>
    <s v="asdfgdfg"/>
    <n v="6"/>
    <n v="6"/>
    <s v="v6qWupgkb4ivwGCo66dxJ3"/>
    <s v="vRKnGjRPLGHATg2tCRn9TE"/>
    <s v="vCxnP55UsxXQXVVUy9foeR"/>
    <s v="vFujGdNreKZ3wDtJUr427m"/>
    <s v="v6yWmNSE3q2ZBg8XrLTBBy"/>
    <s v="v6hpM5kDVnYZMsizWC4y8a"/>
    <s v="uuid:08935f9d-df72-4684-887a-1a4c58d7ea5f"/>
    <n v="174557545"/>
    <s v="08935f9d-df72-4684-887a-1a4c58d7ea5f"/>
    <d v="2021-04-28T15:47:53"/>
    <n v="10"/>
    <m/>
    <n v="-1"/>
    <s v=""/>
    <s v=""/>
  </r>
  <r>
    <n v="11"/>
    <d v="2021-04-28T17:47:43"/>
    <d v="2021-04-28T17:48:07"/>
    <x v="1"/>
    <x v="7"/>
    <x v="8"/>
    <x v="8"/>
    <x v="3"/>
    <s v="I_60"/>
    <b v="0"/>
    <x v="0"/>
    <b v="0"/>
    <b v="0"/>
    <b v="0"/>
    <b v="0"/>
    <b v="0"/>
    <b v="0"/>
    <b v="0"/>
    <b v="0"/>
    <b v="0"/>
    <b v="0"/>
    <b v="0"/>
    <b v="1"/>
    <x v="0"/>
    <b v="0"/>
    <m/>
    <m/>
    <m/>
    <m/>
    <m/>
    <m/>
    <m/>
    <x v="0"/>
    <x v="0"/>
    <x v="0"/>
    <m/>
    <x v="9"/>
    <n v="8"/>
    <n v="8"/>
    <m/>
    <m/>
    <m/>
    <s v="v6qWupgkb4ivwGCo66dxJ3"/>
    <s v="vRKnGjRPLGHATg2tCRn9TE"/>
    <s v="vCxnP55UsxXQXVVUy9foeR"/>
    <s v="vFujGdNreKZ3wDtJUr427m"/>
    <s v="v6yWmNSE3q2ZBg8XrLTBBy"/>
    <s v="v6hpM5kDVnYZMsizWC4y8a"/>
    <s v="uuid:bd278b4d-6f36-4131-99f5-7ac4c9075357"/>
    <n v="174557715"/>
    <s v="bd278b4d-6f36-4131-99f5-7ac4c9075357"/>
    <d v="2021-04-28T15:48:17"/>
    <n v="11"/>
    <m/>
    <n v="-1"/>
    <s v=""/>
    <s v=""/>
  </r>
  <r>
    <n v="12"/>
    <d v="2021-04-28T17:48:07"/>
    <d v="2021-04-28T17:48:38"/>
    <x v="1"/>
    <x v="8"/>
    <x v="9"/>
    <x v="9"/>
    <x v="3"/>
    <s v="I_60"/>
    <b v="0"/>
    <x v="0"/>
    <b v="0"/>
    <b v="0"/>
    <b v="0"/>
    <b v="0"/>
    <b v="0"/>
    <b v="0"/>
    <b v="0"/>
    <b v="0"/>
    <b v="0"/>
    <b v="0"/>
    <b v="0"/>
    <b v="1"/>
    <x v="0"/>
    <b v="0"/>
    <m/>
    <m/>
    <m/>
    <m/>
    <m/>
    <m/>
    <m/>
    <x v="0"/>
    <x v="0"/>
    <x v="0"/>
    <m/>
    <x v="10"/>
    <n v="3"/>
    <n v="3"/>
    <m/>
    <m/>
    <m/>
    <s v="v6qWupgkb4ivwGCo66dxJ3"/>
    <s v="vRKnGjRPLGHATg2tCRn9TE"/>
    <s v="vCxnP55UsxXQXVVUy9foeR"/>
    <s v="vFujGdNreKZ3wDtJUr427m"/>
    <s v="v6yWmNSE3q2ZBg8XrLTBBy"/>
    <s v="v6hpM5kDVnYZMsizWC4y8a"/>
    <s v="uuid:0263e7ca-ab4e-4be0-9e1f-34361a920944"/>
    <n v="174557916"/>
    <s v="0263e7ca-ab4e-4be0-9e1f-34361a920944"/>
    <d v="2021-04-28T15:48:48"/>
    <n v="12"/>
    <m/>
    <n v="-1"/>
    <s v=""/>
    <s v=""/>
  </r>
  <r>
    <n v="13"/>
    <d v="2021-04-28T17:48:38"/>
    <d v="2021-04-28T17:49:33"/>
    <x v="1"/>
    <x v="9"/>
    <x v="10"/>
    <x v="10"/>
    <x v="2"/>
    <s v="I_10b I_20 I_60 I_61"/>
    <b v="0"/>
    <x v="1"/>
    <b v="0"/>
    <b v="1"/>
    <b v="0"/>
    <b v="0"/>
    <b v="0"/>
    <b v="0"/>
    <b v="0"/>
    <b v="0"/>
    <b v="0"/>
    <b v="0"/>
    <b v="0"/>
    <b v="1"/>
    <x v="1"/>
    <b v="0"/>
    <m/>
    <s v="nein"/>
    <s v="asdfsdaf"/>
    <n v="4"/>
    <n v="4"/>
    <s v="dfgdsfgdfg"/>
    <s v="nein"/>
    <x v="0"/>
    <x v="0"/>
    <x v="0"/>
    <m/>
    <x v="11"/>
    <n v="5"/>
    <n v="5"/>
    <s v="fdsggdfg"/>
    <n v="4"/>
    <n v="4"/>
    <s v="v6qWupgkb4ivwGCo66dxJ3"/>
    <s v="vRKnGjRPLGHATg2tCRn9TE"/>
    <s v="vCxnP55UsxXQXVVUy9foeR"/>
    <s v="vFujGdNreKZ3wDtJUr427m"/>
    <s v="v6yWmNSE3q2ZBg8XrLTBBy"/>
    <s v="v6hpM5kDVnYZMsizWC4y8a"/>
    <s v="uuid:4e510f22-5e10-4035-b120-7043a83692d0"/>
    <n v="174558354"/>
    <s v="4e510f22-5e10-4035-b120-7043a83692d0"/>
    <d v="2021-04-28T15:49:43"/>
    <n v="13"/>
    <m/>
    <n v="-1"/>
    <s v=""/>
    <s v=""/>
  </r>
  <r>
    <n v="14"/>
    <d v="2021-04-28T17:49:33"/>
    <d v="2021-04-28T17:49:55"/>
    <x v="0"/>
    <x v="10"/>
    <x v="11"/>
    <x v="11"/>
    <x v="2"/>
    <s v="I_60"/>
    <b v="0"/>
    <x v="0"/>
    <b v="0"/>
    <b v="0"/>
    <b v="0"/>
    <b v="0"/>
    <b v="0"/>
    <b v="0"/>
    <b v="0"/>
    <b v="0"/>
    <b v="0"/>
    <b v="0"/>
    <b v="0"/>
    <b v="1"/>
    <x v="0"/>
    <b v="0"/>
    <m/>
    <m/>
    <m/>
    <m/>
    <m/>
    <m/>
    <m/>
    <x v="0"/>
    <x v="0"/>
    <x v="0"/>
    <m/>
    <x v="12"/>
    <n v="6"/>
    <n v="6"/>
    <m/>
    <m/>
    <m/>
    <s v="v6qWupgkb4ivwGCo66dxJ3"/>
    <s v="vRKnGjRPLGHATg2tCRn9TE"/>
    <s v="vCxnP55UsxXQXVVUy9foeR"/>
    <s v="vFujGdNreKZ3wDtJUr427m"/>
    <s v="v6yWmNSE3q2ZBg8XrLTBBy"/>
    <s v="v6hpM5kDVnYZMsizWC4y8a"/>
    <s v="uuid:df6d1833-a298-4f4f-925b-aa14f944aa6e"/>
    <n v="174558394"/>
    <s v="df6d1833-a298-4f4f-925b-aa14f944aa6e"/>
    <d v="2021-04-28T15:49:57"/>
    <n v="14"/>
    <m/>
    <n v="-1"/>
    <s v=""/>
    <s v=""/>
  </r>
  <r>
    <n v="15"/>
    <d v="2021-04-28T17:56:31"/>
    <d v="2021-04-28T17:56:56"/>
    <x v="0"/>
    <x v="1"/>
    <x v="1"/>
    <x v="12"/>
    <x v="0"/>
    <s v="I_40"/>
    <b v="0"/>
    <x v="0"/>
    <b v="0"/>
    <b v="0"/>
    <b v="0"/>
    <b v="0"/>
    <b v="1"/>
    <b v="0"/>
    <b v="0"/>
    <b v="0"/>
    <b v="0"/>
    <b v="0"/>
    <b v="0"/>
    <b v="0"/>
    <x v="0"/>
    <b v="0"/>
    <m/>
    <m/>
    <m/>
    <m/>
    <m/>
    <m/>
    <m/>
    <x v="0"/>
    <x v="0"/>
    <x v="0"/>
    <m/>
    <x v="3"/>
    <m/>
    <m/>
    <m/>
    <m/>
    <m/>
    <s v="vJj9F4q7PEpR6LzsN78Qak"/>
    <m/>
    <m/>
    <m/>
    <m/>
    <m/>
    <s v="uuid:2a5a28b1-cdb9-4caa-b7ab-1319f513ad49"/>
    <n v="174560436"/>
    <s v="2a5a28b1-cdb9-4caa-b7ab-1319f513ad49"/>
    <d v="2021-04-28T15:57:01"/>
    <n v="15"/>
    <m/>
    <n v="-1"/>
    <s v=""/>
    <s v=""/>
  </r>
  <r>
    <n v="16"/>
    <d v="2021-04-28T18:06:28"/>
    <d v="2021-04-28T18:07:02"/>
    <x v="0"/>
    <x v="1"/>
    <x v="1"/>
    <x v="13"/>
    <x v="2"/>
    <s v="I_60"/>
    <b v="0"/>
    <x v="0"/>
    <b v="0"/>
    <b v="0"/>
    <b v="0"/>
    <b v="0"/>
    <b v="0"/>
    <b v="0"/>
    <b v="0"/>
    <b v="0"/>
    <b v="0"/>
    <b v="0"/>
    <b v="0"/>
    <b v="1"/>
    <x v="0"/>
    <b v="0"/>
    <m/>
    <m/>
    <m/>
    <m/>
    <m/>
    <m/>
    <m/>
    <x v="0"/>
    <x v="0"/>
    <x v="0"/>
    <m/>
    <x v="2"/>
    <n v="4"/>
    <n v="4"/>
    <m/>
    <m/>
    <m/>
    <s v="vJj9F4q7PEpR6LzsN78Qak"/>
    <m/>
    <m/>
    <m/>
    <m/>
    <m/>
    <s v="uuid:8f8b728f-f426-4ca0-9e3c-6bf709f5616c"/>
    <n v="174563309"/>
    <s v="8f8b728f-f426-4ca0-9e3c-6bf709f5616c"/>
    <d v="2021-04-28T16:07:12"/>
    <n v="16"/>
    <m/>
    <n v="-1"/>
    <s v=""/>
    <s v=""/>
  </r>
  <r>
    <n v="17"/>
    <d v="2021-04-28T18:19:42"/>
    <d v="2021-04-28T18:20:03"/>
    <x v="0"/>
    <x v="2"/>
    <x v="3"/>
    <x v="3"/>
    <x v="0"/>
    <s v="I_10b"/>
    <b v="0"/>
    <x v="1"/>
    <b v="0"/>
    <b v="0"/>
    <b v="0"/>
    <b v="0"/>
    <b v="0"/>
    <b v="0"/>
    <b v="0"/>
    <b v="0"/>
    <b v="0"/>
    <b v="0"/>
    <b v="0"/>
    <b v="0"/>
    <x v="0"/>
    <b v="0"/>
    <m/>
    <s v="nein"/>
    <s v="asdfasdf"/>
    <m/>
    <m/>
    <m/>
    <m/>
    <x v="0"/>
    <x v="0"/>
    <x v="0"/>
    <m/>
    <x v="3"/>
    <m/>
    <m/>
    <m/>
    <m/>
    <m/>
    <s v="v6qWupgkb4ivwGCo66dxJ3"/>
    <s v="vRKnGjRPLGHATg2tCRn9TE"/>
    <s v="vCxnP55UsxXQXVVUy9foeR"/>
    <s v="vFujGdNreKZ3wDtJUr427m"/>
    <s v="v6yWmNSE3q2ZBg8XrLTBBy"/>
    <s v="vHAiJUKmt3UmVgVzZy5s57"/>
    <s v="uuid:5a875622-cf37-41f9-91ca-99e2b8a011dd"/>
    <n v="174566761"/>
    <s v="5a875622-cf37-41f9-91ca-99e2b8a011dd"/>
    <d v="2021-04-28T16:20:12"/>
    <n v="17"/>
    <m/>
    <n v="-1"/>
    <s v=""/>
    <s v=""/>
  </r>
  <r>
    <n v="18"/>
    <d v="2021-04-30T09:04:16"/>
    <d v="2021-04-30T09:06:19"/>
    <x v="0"/>
    <x v="1"/>
    <x v="1"/>
    <x v="12"/>
    <x v="0"/>
    <s v="I_41 I_60"/>
    <b v="0"/>
    <x v="0"/>
    <b v="0"/>
    <b v="0"/>
    <b v="0"/>
    <b v="0"/>
    <b v="0"/>
    <b v="1"/>
    <b v="0"/>
    <b v="0"/>
    <b v="0"/>
    <b v="0"/>
    <b v="0"/>
    <b v="1"/>
    <x v="0"/>
    <b v="0"/>
    <m/>
    <m/>
    <m/>
    <m/>
    <m/>
    <m/>
    <m/>
    <x v="0"/>
    <x v="0"/>
    <x v="0"/>
    <m/>
    <x v="4"/>
    <n v="150"/>
    <n v="175"/>
    <m/>
    <m/>
    <m/>
    <s v="v6qWupgkb4ivwGCo66dxJ3"/>
    <s v="vRKnGjRPLGHATg2tCRn9TE"/>
    <s v="vCxnP55UsxXQXVVUy9foeR"/>
    <s v="vFujGdNreKZ3wDtJUr427m"/>
    <s v="v6yWmNSE3q2ZBg8XrLTBBy"/>
    <s v="vuaGzpUkdyEEJBdEAwN9cr"/>
    <s v="uuid:30e264ab-53a9-4984-8a3b-60f8101e9302"/>
    <n v="174958723"/>
    <s v="30e264ab-53a9-4984-8a3b-60f8101e9302"/>
    <d v="2021-04-30T07:06:29"/>
    <n v="18"/>
    <m/>
    <n v="-1"/>
    <s v=""/>
    <s v=""/>
  </r>
  <r>
    <n v="19"/>
    <d v="2021-04-30T09:06:19"/>
    <d v="2021-04-30T09:09:42"/>
    <x v="0"/>
    <x v="1"/>
    <x v="1"/>
    <x v="1"/>
    <x v="1"/>
    <s v="I_20 I_21"/>
    <b v="0"/>
    <x v="0"/>
    <b v="0"/>
    <b v="1"/>
    <b v="1"/>
    <b v="0"/>
    <b v="0"/>
    <b v="0"/>
    <b v="0"/>
    <b v="0"/>
    <b v="0"/>
    <b v="0"/>
    <b v="0"/>
    <b v="0"/>
    <x v="0"/>
    <b v="0"/>
    <m/>
    <m/>
    <m/>
    <n v="3"/>
    <n v="3"/>
    <s v="VEränderung"/>
    <s v="ja"/>
    <x v="5"/>
    <x v="1"/>
    <x v="0"/>
    <m/>
    <x v="3"/>
    <m/>
    <m/>
    <m/>
    <m/>
    <m/>
    <s v="v6qWupgkb4ivwGCo66dxJ3"/>
    <s v="vRKnGjRPLGHATg2tCRn9TE"/>
    <s v="vCxnP55UsxXQXVVUy9foeR"/>
    <s v="vFujGdNreKZ3wDtJUr427m"/>
    <s v="v6yWmNSE3q2ZBg8XrLTBBy"/>
    <s v="vuaGzpUkdyEEJBdEAwN9cr"/>
    <s v="uuid:0663eb28-8368-47cf-8343-41ef5f916238"/>
    <n v="174966000"/>
    <s v="0663eb28-8368-47cf-8343-41ef5f916238"/>
    <d v="2021-04-30T07:45:30"/>
    <n v="19"/>
    <m/>
    <n v="-1"/>
    <s v=""/>
    <s v=""/>
  </r>
  <r>
    <n v="20"/>
    <d v="2021-04-30T09:45:01"/>
    <d v="2021-04-30T09:45:27"/>
    <x v="0"/>
    <x v="1"/>
    <x v="1"/>
    <x v="12"/>
    <x v="0"/>
    <s v="I_21"/>
    <b v="0"/>
    <x v="0"/>
    <b v="0"/>
    <b v="0"/>
    <b v="1"/>
    <b v="0"/>
    <b v="0"/>
    <b v="0"/>
    <b v="0"/>
    <b v="0"/>
    <b v="0"/>
    <b v="0"/>
    <b v="0"/>
    <b v="0"/>
    <x v="0"/>
    <b v="0"/>
    <m/>
    <m/>
    <m/>
    <m/>
    <m/>
    <m/>
    <m/>
    <x v="6"/>
    <x v="2"/>
    <x v="0"/>
    <m/>
    <x v="3"/>
    <m/>
    <m/>
    <m/>
    <m/>
    <m/>
    <s v="v6qWupgkb4ivwGCo66dxJ3"/>
    <s v="vRKnGjRPLGHATg2tCRn9TE"/>
    <s v="vCxnP55UsxXQXVVUy9foeR"/>
    <s v="vFujGdNreKZ3wDtJUr427m"/>
    <s v="v6yWmNSE3q2ZBg8XrLTBBy"/>
    <s v="vwr4iQPi8VEHn7KpBHL8SV"/>
    <s v="uuid:d3cc8d55-aa51-4367-a661-7935bb78fdd1"/>
    <n v="174966005"/>
    <s v="d3cc8d55-aa51-4367-a661-7935bb78fdd1"/>
    <d v="2021-04-30T07:45:31"/>
    <n v="20"/>
    <m/>
    <n v="-1"/>
    <s v=""/>
    <s v=""/>
  </r>
  <r>
    <n v="21"/>
    <d v="2021-04-30T16:54:32"/>
    <d v="2021-04-30T16:55:33"/>
    <x v="0"/>
    <x v="3"/>
    <x v="4"/>
    <x v="4"/>
    <x v="2"/>
    <s v="I_21 I_60"/>
    <b v="0"/>
    <x v="0"/>
    <b v="0"/>
    <b v="0"/>
    <b v="1"/>
    <b v="0"/>
    <b v="0"/>
    <b v="0"/>
    <b v="0"/>
    <b v="0"/>
    <b v="0"/>
    <b v="0"/>
    <b v="0"/>
    <b v="1"/>
    <x v="0"/>
    <b v="0"/>
    <m/>
    <m/>
    <m/>
    <m/>
    <m/>
    <m/>
    <m/>
    <x v="7"/>
    <x v="0"/>
    <x v="0"/>
    <m/>
    <x v="2"/>
    <n v="7"/>
    <n v="7"/>
    <m/>
    <m/>
    <m/>
    <s v="v6qWupgkb4ivwGCo66dxJ3"/>
    <s v="vRKnGjRPLGHATg2tCRn9TE"/>
    <s v="vCxnP55UsxXQXVVUy9foeR"/>
    <s v="vFujGdNreKZ3wDtJUr427m"/>
    <s v="v6yWmNSE3q2ZBg8XrLTBBy"/>
    <s v="vwr4iQPi8VEHn7KpBHL8SV"/>
    <s v="uuid:f459e314-a313-4324-a135-2b69e22f1bf9"/>
    <n v="175062850"/>
    <s v="f459e314-a313-4324-a135-2b69e22f1bf9"/>
    <d v="2021-04-30T14:55:43"/>
    <n v="21"/>
    <m/>
    <n v="-1"/>
    <s v=""/>
    <s v=""/>
  </r>
  <r>
    <n v="22"/>
    <d v="2021-05-03T10:15:18"/>
    <d v="2021-05-03T10:17:09"/>
    <x v="0"/>
    <x v="1"/>
    <x v="1"/>
    <x v="12"/>
    <x v="0"/>
    <s v="I_21"/>
    <b v="0"/>
    <x v="0"/>
    <b v="0"/>
    <b v="0"/>
    <b v="1"/>
    <b v="0"/>
    <b v="0"/>
    <b v="0"/>
    <b v="0"/>
    <b v="0"/>
    <b v="0"/>
    <b v="0"/>
    <b v="0"/>
    <b v="0"/>
    <x v="0"/>
    <b v="0"/>
    <m/>
    <m/>
    <m/>
    <m/>
    <m/>
    <m/>
    <m/>
    <x v="8"/>
    <x v="3"/>
    <x v="0"/>
    <m/>
    <x v="3"/>
    <m/>
    <m/>
    <m/>
    <m/>
    <m/>
    <s v="v6qWupgkb4ivwGCo66dxJ3"/>
    <s v="vRKnGjRPLGHATg2tCRn9TE"/>
    <s v="vCxnP55UsxXQXVVUy9foeR"/>
    <s v="vFujGdNreKZ3wDtJUr427m"/>
    <s v="v6yWmNSE3q2ZBg8XrLTBBy"/>
    <s v="vwr4iQPi8VEHn7KpBHL8SV"/>
    <s v="uuid:f39d955d-6758-43a0-be4b-f29d1d90e38a"/>
    <n v="175492276"/>
    <s v="f39d955d-6758-43a0-be4b-f29d1d90e38a"/>
    <d v="2021-05-03T08:17:20"/>
    <n v="22"/>
    <m/>
    <n v="-1"/>
    <s v=""/>
    <s v=""/>
  </r>
  <r>
    <n v="23"/>
    <d v="2021-05-03T11:07:06"/>
    <d v="2021-05-03T11:08:37"/>
    <x v="0"/>
    <x v="10"/>
    <x v="12"/>
    <x v="14"/>
    <x v="0"/>
    <s v="I_21"/>
    <b v="0"/>
    <x v="0"/>
    <b v="0"/>
    <b v="0"/>
    <b v="1"/>
    <b v="0"/>
    <b v="0"/>
    <b v="0"/>
    <b v="0"/>
    <b v="0"/>
    <b v="0"/>
    <b v="0"/>
    <b v="0"/>
    <b v="0"/>
    <x v="0"/>
    <b v="0"/>
    <m/>
    <m/>
    <m/>
    <m/>
    <m/>
    <m/>
    <m/>
    <x v="9"/>
    <x v="4"/>
    <x v="1"/>
    <m/>
    <x v="3"/>
    <m/>
    <m/>
    <m/>
    <m/>
    <m/>
    <s v="v6qWupgkb4ivwGCo66dxJ3"/>
    <s v="vRKnGjRPLGHATg2tCRn9TE"/>
    <s v="vCxnP55UsxXQXVVUy9foeR"/>
    <s v="vFujGdNreKZ3wDtJUr427m"/>
    <s v="v6yWmNSE3q2ZBg8XrLTBBy"/>
    <s v="v5KpTtuBiFkLQvVRGHH9Ac"/>
    <s v="uuid:2884a7e9-a847-402b-8fb2-aaf73ae75599"/>
    <n v="175507378"/>
    <s v="2884a7e9-a847-402b-8fb2-aaf73ae75599"/>
    <d v="2021-05-03T09:08:48"/>
    <n v="23"/>
    <m/>
    <n v="-1"/>
    <s v=""/>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BA43E54-114A-4841-A092-426B6F7755D6}" name="PivotTable1" cacheId="159" applyNumberFormats="0" applyBorderFormats="0" applyFontFormats="0" applyPatternFormats="0" applyAlignmentFormats="0" applyWidthHeightFormats="1" dataCaption="Werte" updatedVersion="6" minRefreshableVersion="3" itemPrintTitles="1" createdVersion="6" indent="0" compact="0" compactData="0" multipleFieldFilters="0">
  <location ref="A9:C20" firstHeaderRow="1" firstDataRow="1" firstDataCol="3" rowPageCount="4" colPageCount="1"/>
  <pivotFields count="57">
    <pivotField compact="0" outline="0" showAll="0" defaultSubtotal="0"/>
    <pivotField compact="0" numFmtId="22" outline="0" showAll="0" defaultSubtotal="0"/>
    <pivotField compact="0" numFmtId="22" outline="0" showAll="0" defaultSubtotal="0"/>
    <pivotField axis="axisPage" compact="0" outline="0" showAll="0" defaultSubtotal="0">
      <items count="2">
        <item x="0"/>
        <item x="1"/>
      </items>
    </pivotField>
    <pivotField axis="axisPage" compact="0" outline="0" showAll="0" defaultSubtotal="0">
      <items count="11">
        <item x="2"/>
        <item x="0"/>
        <item x="3"/>
        <item x="4"/>
        <item x="5"/>
        <item x="6"/>
        <item x="7"/>
        <item x="8"/>
        <item x="9"/>
        <item x="10"/>
        <item x="1"/>
      </items>
    </pivotField>
    <pivotField axis="axisPage" compact="0" outline="0" showAll="0" defaultSubtotal="0">
      <items count="13">
        <item x="6"/>
        <item x="4"/>
        <item x="8"/>
        <item x="0"/>
        <item x="3"/>
        <item x="7"/>
        <item x="11"/>
        <item x="1"/>
        <item x="2"/>
        <item x="9"/>
        <item x="5"/>
        <item x="10"/>
        <item x="12"/>
      </items>
    </pivotField>
    <pivotField axis="axisPage" compact="0" outline="0" showAll="0" defaultSubtotal="0">
      <items count="15">
        <item x="5"/>
        <item x="6"/>
        <item x="4"/>
        <item x="7"/>
        <item x="13"/>
        <item x="1"/>
        <item x="11"/>
        <item x="10"/>
        <item x="12"/>
        <item x="8"/>
        <item x="0"/>
        <item x="3"/>
        <item x="2"/>
        <item x="9"/>
        <item x="14"/>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10">
        <item x="4"/>
        <item x="3"/>
        <item x="1"/>
        <item x="2"/>
        <item x="0"/>
        <item x="5"/>
        <item x="6"/>
        <item x="7"/>
        <item x="8"/>
        <item x="9"/>
      </items>
    </pivotField>
    <pivotField axis="axisRow" compact="0" outline="0" showAll="0" defaultSubtotal="0">
      <items count="5">
        <item x="2"/>
        <item x="1"/>
        <item x="0"/>
        <item x="3"/>
        <item x="4"/>
      </items>
    </pivotField>
    <pivotField axis="axisRow" compact="0" outline="0" subtotalTop="0" showAll="0" defaultSubtotal="0">
      <items count="2">
        <item x="1"/>
        <item x="0"/>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numFmtId="22"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3">
    <field x="32"/>
    <field x="33"/>
    <field x="34"/>
  </rowFields>
  <rowItems count="11">
    <i>
      <x/>
      <x v="2"/>
      <x v="1"/>
    </i>
    <i>
      <x v="1"/>
      <x v="2"/>
      <x v="1"/>
    </i>
    <i>
      <x v="2"/>
      <x v="2"/>
      <x v="1"/>
    </i>
    <i>
      <x v="3"/>
      <x v="2"/>
      <x v="1"/>
    </i>
    <i>
      <x v="4"/>
      <x v="2"/>
      <x v="1"/>
    </i>
    <i>
      <x v="5"/>
      <x v="1"/>
      <x v="1"/>
    </i>
    <i>
      <x v="6"/>
      <x/>
      <x v="1"/>
    </i>
    <i>
      <x v="7"/>
      <x v="2"/>
      <x v="1"/>
    </i>
    <i>
      <x v="8"/>
      <x v="3"/>
      <x v="1"/>
    </i>
    <i>
      <x v="9"/>
      <x v="4"/>
      <x/>
    </i>
    <i t="grand">
      <x/>
    </i>
  </rowItems>
  <colItems count="1">
    <i/>
  </colItems>
  <pageFields count="4">
    <pageField fld="3" hier="-1"/>
    <pageField fld="4" hier="-1"/>
    <pageField fld="5" hier="-1"/>
    <pageField fld="6" hier="-1"/>
  </pageFields>
  <formats count="5">
    <format dxfId="100">
      <pivotArea type="all" dataOnly="0" outline="0" fieldPosition="0"/>
    </format>
    <format dxfId="101">
      <pivotArea field="32" type="button" dataOnly="0" labelOnly="1" outline="0" axis="axisRow" fieldPosition="0"/>
    </format>
    <format dxfId="102">
      <pivotArea dataOnly="0" labelOnly="1" fieldPosition="0">
        <references count="1">
          <reference field="32" count="0"/>
        </references>
      </pivotArea>
    </format>
    <format dxfId="103">
      <pivotArea dataOnly="0" labelOnly="1" grandRow="1" outline="0" fieldPosition="0"/>
    </format>
    <format dxfId="1">
      <pivotArea field="33" type="button" dataOnly="0" labelOnly="1" outline="0" axis="axisRow" fieldPosition="1"/>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6B03FA8-DE2E-4C75-9912-04EF93B9B2A8}" name="PivotTable6" cacheId="159" applyNumberFormats="0" applyBorderFormats="0" applyFontFormats="0" applyPatternFormats="0" applyAlignmentFormats="0" applyWidthHeightFormats="1" dataCaption="Werte" updatedVersion="6" minRefreshableVersion="3" itemPrintTitles="1" createdVersion="6" indent="0" outline="1" outlineData="1" multipleFieldFilters="0">
  <location ref="N7:P18" firstHeaderRow="0" firstDataRow="1" firstDataCol="1" rowPageCount="4" colPageCount="1"/>
  <pivotFields count="57">
    <pivotField showAll="0"/>
    <pivotField numFmtId="22" showAll="0"/>
    <pivotField numFmtId="22" showAll="0"/>
    <pivotField axis="axisPage" showAll="0">
      <items count="3">
        <item x="0"/>
        <item x="1"/>
        <item t="default"/>
      </items>
    </pivotField>
    <pivotField axis="axisPage" showAll="0">
      <items count="12">
        <item x="2"/>
        <item x="0"/>
        <item x="3"/>
        <item x="4"/>
        <item x="5"/>
        <item x="6"/>
        <item x="7"/>
        <item x="8"/>
        <item x="9"/>
        <item x="10"/>
        <item x="1"/>
        <item t="default"/>
      </items>
    </pivotField>
    <pivotField axis="axisPage" showAll="0">
      <items count="14">
        <item x="6"/>
        <item x="4"/>
        <item x="8"/>
        <item x="0"/>
        <item x="3"/>
        <item x="7"/>
        <item x="11"/>
        <item x="1"/>
        <item x="2"/>
        <item x="9"/>
        <item x="5"/>
        <item x="10"/>
        <item x="12"/>
        <item t="default"/>
      </items>
    </pivotField>
    <pivotField axis="axisPage" showAll="0">
      <items count="16">
        <item x="5"/>
        <item x="6"/>
        <item x="4"/>
        <item x="7"/>
        <item x="13"/>
        <item x="1"/>
        <item x="11"/>
        <item x="10"/>
        <item x="12"/>
        <item x="8"/>
        <item x="0"/>
        <item x="3"/>
        <item x="2"/>
        <item x="9"/>
        <item x="14"/>
        <item t="default"/>
      </items>
    </pivotField>
    <pivotField axis="axisRow" showAll="0">
      <items count="5">
        <item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showAll="0"/>
    <pivotField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s>
  <rowFields count="2">
    <field x="23"/>
    <field x="7"/>
  </rowFields>
  <rowItems count="11">
    <i>
      <x/>
    </i>
    <i r="1">
      <x/>
    </i>
    <i r="1">
      <x v="1"/>
    </i>
    <i r="1">
      <x v="2"/>
    </i>
    <i r="1">
      <x v="3"/>
    </i>
    <i>
      <x v="1"/>
    </i>
    <i r="1">
      <x/>
    </i>
    <i r="1">
      <x v="1"/>
    </i>
    <i r="1">
      <x v="2"/>
    </i>
    <i r="1">
      <x v="3"/>
    </i>
    <i t="grand">
      <x/>
    </i>
  </rowItems>
  <colFields count="1">
    <field x="-2"/>
  </colFields>
  <colItems count="2">
    <i>
      <x/>
    </i>
    <i i="1">
      <x v="1"/>
    </i>
  </colItems>
  <pageFields count="4">
    <pageField fld="3" hier="-1"/>
    <pageField fld="4" hier="-1"/>
    <pageField fld="5" hier="-1"/>
    <pageField fld="6" hier="-1"/>
  </pageFields>
  <dataFields count="2">
    <dataField name="Summe von group_I_61_geistlich_Beguensti/Anzahl_Jungen_Maenner_I61" fld="40" baseField="0" baseItem="0"/>
    <dataField name="Summe von group_I_61_geistlich_Beguensti/Anzahl_Maedchen_Frauen_I61" fld="4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8F9F779-812B-48D1-B82E-170B37AFE61E}" name="PivotTable5" cacheId="159" applyNumberFormats="0" applyBorderFormats="0" applyFontFormats="0" applyPatternFormats="0" applyAlignmentFormats="0" applyWidthHeightFormats="1" dataCaption="Werte" updatedVersion="6" minRefreshableVersion="3" itemPrintTitles="1" createdVersion="6" indent="0" outline="1" outlineData="1" multipleFieldFilters="0">
  <location ref="J7:L21" firstHeaderRow="0" firstDataRow="1" firstDataCol="1" rowPageCount="4" colPageCount="1"/>
  <pivotFields count="57">
    <pivotField showAll="0"/>
    <pivotField numFmtId="22" showAll="0"/>
    <pivotField numFmtId="22" showAll="0"/>
    <pivotField axis="axisPage" showAll="0">
      <items count="3">
        <item x="0"/>
        <item x="1"/>
        <item t="default"/>
      </items>
    </pivotField>
    <pivotField axis="axisPage" showAll="0">
      <items count="12">
        <item x="2"/>
        <item x="0"/>
        <item x="3"/>
        <item x="4"/>
        <item x="5"/>
        <item x="6"/>
        <item x="7"/>
        <item x="8"/>
        <item x="9"/>
        <item x="10"/>
        <item x="1"/>
        <item t="default"/>
      </items>
    </pivotField>
    <pivotField axis="axisPage" showAll="0">
      <items count="14">
        <item x="6"/>
        <item x="4"/>
        <item x="8"/>
        <item x="0"/>
        <item x="3"/>
        <item x="7"/>
        <item x="11"/>
        <item x="1"/>
        <item x="2"/>
        <item x="9"/>
        <item x="5"/>
        <item x="10"/>
        <item x="12"/>
        <item t="default"/>
      </items>
    </pivotField>
    <pivotField axis="axisPage" showAll="0">
      <items count="16">
        <item x="5"/>
        <item x="6"/>
        <item x="4"/>
        <item x="7"/>
        <item x="13"/>
        <item x="1"/>
        <item x="11"/>
        <item x="10"/>
        <item x="12"/>
        <item x="8"/>
        <item x="0"/>
        <item x="3"/>
        <item x="2"/>
        <item x="9"/>
        <item x="1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4"/>
        <item x="0"/>
        <item m="1" x="13"/>
        <item x="5"/>
        <item x="1"/>
        <item x="6"/>
        <item x="7"/>
        <item x="2"/>
        <item x="11"/>
        <item x="12"/>
        <item x="8"/>
        <item x="9"/>
        <item x="10"/>
        <item x="3"/>
        <item t="default"/>
      </items>
    </pivotField>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s>
  <rowFields count="1">
    <field x="36"/>
  </rowFields>
  <rowItems count="14">
    <i>
      <x/>
    </i>
    <i>
      <x v="1"/>
    </i>
    <i>
      <x v="3"/>
    </i>
    <i>
      <x v="4"/>
    </i>
    <i>
      <x v="5"/>
    </i>
    <i>
      <x v="6"/>
    </i>
    <i>
      <x v="7"/>
    </i>
    <i>
      <x v="8"/>
    </i>
    <i>
      <x v="9"/>
    </i>
    <i>
      <x v="10"/>
    </i>
    <i>
      <x v="11"/>
    </i>
    <i>
      <x v="12"/>
    </i>
    <i>
      <x v="13"/>
    </i>
    <i t="grand">
      <x/>
    </i>
  </rowItems>
  <colFields count="1">
    <field x="-2"/>
  </colFields>
  <colItems count="2">
    <i>
      <x/>
    </i>
    <i i="1">
      <x v="1"/>
    </i>
  </colItems>
  <pageFields count="4">
    <pageField fld="3" hier="-1"/>
    <pageField fld="4" hier="-1"/>
    <pageField fld="5" hier="-1"/>
    <pageField fld="6" hier="-1"/>
  </pageFields>
  <dataFields count="2">
    <dataField name="Summe von group_I_60_Beguenstigte/Anzahl_Jungen_Maenner_I60" fld="37" baseField="0" baseItem="0"/>
    <dataField name="Summe von group_I_60_Beguenstigte/Anzahl_Maedchen_Frauen_I60" fld="38"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961959D0-FA8C-4941-8B88-1116CD8CD66D}" name="PivotTable4" cacheId="159" applyNumberFormats="0" applyBorderFormats="0" applyFontFormats="0" applyPatternFormats="0" applyAlignmentFormats="0" applyWidthHeightFormats="1" dataCaption="Werte" updatedVersion="6" minRefreshableVersion="3" itemPrintTitles="1" createdVersion="6" indent="0" outline="1" outlineData="1" multipleFieldFilters="0">
  <location ref="F7:H12" firstHeaderRow="0" firstDataRow="1" firstDataCol="1" rowPageCount="4" colPageCount="1"/>
  <pivotFields count="57">
    <pivotField showAll="0"/>
    <pivotField numFmtId="22" showAll="0"/>
    <pivotField numFmtId="22" showAll="0"/>
    <pivotField axis="axisPage" showAll="0">
      <items count="3">
        <item x="0"/>
        <item x="1"/>
        <item t="default"/>
      </items>
    </pivotField>
    <pivotField axis="axisPage" showAll="0">
      <items count="12">
        <item x="2"/>
        <item x="0"/>
        <item x="3"/>
        <item x="4"/>
        <item x="5"/>
        <item x="6"/>
        <item x="7"/>
        <item x="8"/>
        <item x="9"/>
        <item x="10"/>
        <item x="1"/>
        <item t="default"/>
      </items>
    </pivotField>
    <pivotField axis="axisPage" showAll="0">
      <items count="14">
        <item x="6"/>
        <item x="4"/>
        <item x="8"/>
        <item x="0"/>
        <item x="3"/>
        <item x="7"/>
        <item x="11"/>
        <item x="1"/>
        <item x="2"/>
        <item x="9"/>
        <item x="5"/>
        <item x="10"/>
        <item x="12"/>
        <item t="default"/>
      </items>
    </pivotField>
    <pivotField axis="axisPage" showAll="0">
      <items count="16">
        <item x="5"/>
        <item x="6"/>
        <item x="4"/>
        <item x="7"/>
        <item x="13"/>
        <item x="1"/>
        <item x="11"/>
        <item x="10"/>
        <item x="12"/>
        <item x="8"/>
        <item x="0"/>
        <item x="3"/>
        <item x="2"/>
        <item x="9"/>
        <item x="14"/>
        <item t="default"/>
      </items>
    </pivotField>
    <pivotField axis="axisRow" showAll="0">
      <items count="5">
        <item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s>
  <rowFields count="1">
    <field x="7"/>
  </rowFields>
  <rowItems count="5">
    <i>
      <x/>
    </i>
    <i>
      <x v="1"/>
    </i>
    <i>
      <x v="2"/>
    </i>
    <i>
      <x v="3"/>
    </i>
    <i t="grand">
      <x/>
    </i>
  </rowItems>
  <colFields count="1">
    <field x="-2"/>
  </colFields>
  <colItems count="2">
    <i>
      <x/>
    </i>
    <i i="1">
      <x v="1"/>
    </i>
  </colItems>
  <pageFields count="4">
    <pageField fld="3" hier="-1"/>
    <pageField fld="4" hier="-1"/>
    <pageField fld="5" hier="-1"/>
    <pageField fld="6" hier="-1"/>
  </pageFields>
  <dataFields count="2">
    <dataField name="Summe von group_I_20_Verantw_uebernommen/Anzahl_Jungen_Maenner_I20" fld="28" baseField="0" baseItem="0"/>
    <dataField name="Summe von group_I_20_Verantw_uebernommen/Anzahl_Maedchen_Frauen_I20" fld="29"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4E0827B9-FE4F-43C7-88A8-6647C79EA3F4}" name="PivotTable3" cacheId="159" applyNumberFormats="0" applyBorderFormats="0" applyFontFormats="0" applyPatternFormats="0" applyAlignmentFormats="0" applyWidthHeightFormats="1" dataCaption="Werte" updatedVersion="6" minRefreshableVersion="3" itemPrintTitles="1" createdVersion="6" indent="0" outline="1" outlineData="1" multipleFieldFilters="0">
  <location ref="A7:D13" firstHeaderRow="1" firstDataRow="2" firstDataCol="1" rowPageCount="4" colPageCount="1"/>
  <pivotFields count="57">
    <pivotField showAll="0"/>
    <pivotField numFmtId="22" showAll="0"/>
    <pivotField numFmtId="22" showAll="0"/>
    <pivotField axis="axisPage" showAll="0">
      <items count="3">
        <item x="0"/>
        <item x="1"/>
        <item t="default"/>
      </items>
    </pivotField>
    <pivotField axis="axisPage" multipleItemSelectionAllowed="1" showAll="0">
      <items count="12">
        <item x="2"/>
        <item x="0"/>
        <item x="3"/>
        <item x="4"/>
        <item x="5"/>
        <item x="6"/>
        <item x="7"/>
        <item x="8"/>
        <item x="9"/>
        <item x="10"/>
        <item x="1"/>
        <item t="default"/>
      </items>
    </pivotField>
    <pivotField axis="axisPage" showAll="0">
      <items count="14">
        <item x="6"/>
        <item x="4"/>
        <item x="8"/>
        <item x="0"/>
        <item x="3"/>
        <item x="7"/>
        <item x="11"/>
        <item x="1"/>
        <item x="2"/>
        <item x="9"/>
        <item x="5"/>
        <item x="10"/>
        <item x="12"/>
        <item t="default"/>
      </items>
    </pivotField>
    <pivotField axis="axisPage" showAll="0">
      <items count="16">
        <item x="5"/>
        <item x="6"/>
        <item x="4"/>
        <item x="7"/>
        <item x="13"/>
        <item x="1"/>
        <item x="11"/>
        <item x="10"/>
        <item x="12"/>
        <item x="8"/>
        <item x="0"/>
        <item x="3"/>
        <item x="2"/>
        <item x="9"/>
        <item x="14"/>
        <item t="default"/>
      </items>
    </pivotField>
    <pivotField axis="axisRow" showAll="0">
      <items count="5">
        <item x="0"/>
        <item x="1"/>
        <item x="2"/>
        <item x="3"/>
        <item t="default"/>
      </items>
    </pivotField>
    <pivotField showAll="0"/>
    <pivotField showAll="0"/>
    <pivotField axis="axisCol"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s>
  <rowFields count="1">
    <field x="7"/>
  </rowFields>
  <rowItems count="5">
    <i>
      <x/>
    </i>
    <i>
      <x v="1"/>
    </i>
    <i>
      <x v="2"/>
    </i>
    <i>
      <x v="3"/>
    </i>
    <i t="grand">
      <x/>
    </i>
  </rowItems>
  <colFields count="1">
    <field x="10"/>
  </colFields>
  <colItems count="3">
    <i>
      <x/>
    </i>
    <i>
      <x v="1"/>
    </i>
    <i t="grand">
      <x/>
    </i>
  </colItems>
  <pageFields count="4">
    <pageField fld="3" hier="-1"/>
    <pageField fld="4" hier="-1"/>
    <pageField fld="5" hier="-1"/>
    <pageField fld="6" hier="-1"/>
  </pageFields>
  <dataFields count="1">
    <dataField name="Anzahl von group_I_10b_Personelle_Abhaeng/Verantwortung_uebernommen" fld="2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eDaten_1" connectionId="10" xr16:uid="{DF317E38-C160-46C6-B079-FB262B5DD011}" autoFormatId="16" applyNumberFormats="0" applyBorderFormats="0" applyFontFormats="0" applyPatternFormats="0" applyAlignmentFormats="0" applyWidthHeightFormats="0">
  <queryTableRefresh nextId="59" unboundColumnsLeft="1">
    <queryTableFields count="57">
      <queryTableField id="56" dataBound="0" tableColumnId="56"/>
      <queryTableField id="1" name="start" tableColumnId="1"/>
      <queryTableField id="2" name="end" tableColumnId="2"/>
      <queryTableField id="3" name="Name" tableColumnId="3"/>
      <queryTableField id="4" name="Land" tableColumnId="4"/>
      <queryTableField id="5" name="Projekt" tableColumnId="5"/>
      <queryTableField id="6" name="Teilprojekt" tableColumnId="6"/>
      <queryTableField id="7" name="Schwerpunkt" tableColumnId="7"/>
      <queryTableField id="8" name="Waehle_Indikator" tableColumnId="8"/>
      <queryTableField id="9" name="Waehle_Indikator/I_10a" tableColumnId="9"/>
      <queryTableField id="10" name="Waehle_Indikator/I_10b" tableColumnId="10"/>
      <queryTableField id="11" name="Waehle_Indikator/I_10c" tableColumnId="11"/>
      <queryTableField id="12" name="Waehle_Indikator/I_20" tableColumnId="12"/>
      <queryTableField id="13" name="Waehle_Indikator/I_21" tableColumnId="13"/>
      <queryTableField id="14" name="Waehle_Indikator/I_30" tableColumnId="14"/>
      <queryTableField id="15" name="Waehle_Indikator/I_40" tableColumnId="15"/>
      <queryTableField id="16" name="Waehle_Indikator/I_41" tableColumnId="16"/>
      <queryTableField id="17" name="Waehle_Indikator/I_50" tableColumnId="17"/>
      <queryTableField id="18" name="Waehle_Indikator/I_51" tableColumnId="18"/>
      <queryTableField id="19" name="Waehle_Indikator/I_52" tableColumnId="19"/>
      <queryTableField id="20" name="Waehle_Indikator/I_53" tableColumnId="20"/>
      <queryTableField id="21" name="Waehle_Indikator/I_54" tableColumnId="21"/>
      <queryTableField id="22" name="Waehle_Indikator/I_60" tableColumnId="22"/>
      <queryTableField id="23" name="Waehle_Indikator/I_61" tableColumnId="23"/>
      <queryTableField id="24" name="Waehle_Indikator/I_70" tableColumnId="24"/>
      <queryTableField id="25" name="I_10a_Zunahme_Eigenfinanzierun" tableColumnId="25"/>
      <queryTableField id="26" name="group_I_10b_Personelle_Abhaeng/I_10b_Abnahme_pers_Abhaengigke" tableColumnId="26"/>
      <queryTableField id="27" name="group_I_10b_Personelle_Abhaeng/Verantwortung_uebernommen" tableColumnId="27"/>
      <queryTableField id="28" name="group_I_20_Verantw_uebernommen/Anzahl_Jungen_Maenner_I20" tableColumnId="28"/>
      <queryTableField id="29" name="group_I_20_Verantw_uebernommen/Anzahl_Maedchen_Frauen_I20" tableColumnId="29"/>
      <queryTableField id="30" name="group_I_20_Verantw_uebernommen/Veraenderung_bei_Beguenstigten" tableColumnId="30"/>
      <queryTableField id="31" name="group_I_20_Verantw_uebernommen/Erzaehle_Geschichte" tableColumnId="31"/>
      <queryTableField id="32" name="group_I_21_lebensv_Entwicklung/Geschichte_lebensv_Erfahrung" tableColumnId="32"/>
      <queryTableField id="33" name="group_I_21_lebensv_Entwicklung/Foto_hochladen" tableColumnId="33"/>
      <queryTableField id="57" name="group_I_21_lebensv_Entwicklung/zweites_Photo" tableColumnId="57"/>
      <queryTableField id="34" name="I_30_Veraenderung_System" tableColumnId="34"/>
      <queryTableField id="35" name="group_I_60_Beguenstigte/Beguenstigte" tableColumnId="35"/>
      <queryTableField id="36" name="group_I_60_Beguenstigte/Anzahl_Jungen_Maenner_I60" tableColumnId="36"/>
      <queryTableField id="37" name="group_I_60_Beguenstigte/Anzahl_Maedchen_Frauen_I60" tableColumnId="37"/>
      <queryTableField id="38" name="group_I_61_geistlich_Beguensti/I_61_Art_der_Beguenstigung" tableColumnId="38"/>
      <queryTableField id="39" name="group_I_61_geistlich_Beguensti/Anzahl_Jungen_Maenner_I61" tableColumnId="39"/>
      <queryTableField id="40" name="group_I_61_geistlich_Beguensti/Anzahl_Maedchen_Frauen_I61" tableColumnId="40"/>
      <queryTableField id="41" name="__version__" tableColumnId="41"/>
      <queryTableField id="42" name="_version_" tableColumnId="42"/>
      <queryTableField id="43" name="_version__001" tableColumnId="43"/>
      <queryTableField id="44" name="_version__002" tableColumnId="44"/>
      <queryTableField id="45" name="_version__003" tableColumnId="45"/>
      <queryTableField id="46" name="_version__004" tableColumnId="46"/>
      <queryTableField id="47" name="meta/instanceID" tableColumnId="47"/>
      <queryTableField id="48" name="_id" tableColumnId="48"/>
      <queryTableField id="49" name="_uuid" tableColumnId="49"/>
      <queryTableField id="50" name="_submission_time" tableColumnId="50"/>
      <queryTableField id="51" name="_index" tableColumnId="51"/>
      <queryTableField id="52" name="_parent_table_name" tableColumnId="52"/>
      <queryTableField id="53" name="_parent_index" tableColumnId="53"/>
      <queryTableField id="54" name="_tags" tableColumnId="54"/>
      <queryTableField id="55" name="_notes" tableColumnId="55"/>
    </queryTableFields>
  </queryTableRefresh>
</queryTable>
</file>

<file path=xl/queryTables/queryTable10.xml><?xml version="1.0" encoding="utf-8"?>
<queryTable xmlns="http://schemas.openxmlformats.org/spreadsheetml/2006/main" xmlns:mc="http://schemas.openxmlformats.org/markup-compatibility/2006" xmlns:xr16="http://schemas.microsoft.com/office/spreadsheetml/2017/revision16" mc:Ignorable="xr16" name="ExterneDaten_9" connectionId="9" xr16:uid="{F0C0AB4C-AC09-44DA-8BAB-C852D85F46FE}" autoFormatId="16" applyNumberFormats="0" applyBorderFormats="0" applyFontFormats="0" applyPatternFormats="0" applyAlignmentFormats="0" applyWidthHeightFormats="0">
  <queryTableRefresh nextId="18" unboundColumnsLeft="5">
    <queryTableFields count="17">
      <queryTableField id="17" dataBound="0" tableColumnId="17"/>
      <queryTableField id="16" dataBound="0" tableColumnId="16"/>
      <queryTableField id="15" dataBound="0" tableColumnId="15"/>
      <queryTableField id="14" dataBound="0" tableColumnId="14"/>
      <queryTableField id="13" dataBound="0" tableColumnId="13"/>
      <queryTableField id="1" name="group_I_70_Anz_Kontakte/I_70_Kontakt_Systemebene" tableColumnId="1"/>
      <queryTableField id="2" name="group_I_70_Anz_Kontakte/I_70_Art_der_Organisation" tableColumnId="2"/>
      <queryTableField id="3" name="group_I_70_Anz_Kontakte/I_70_Wann_hat_der_Kontakt_stattgefunden" tableColumnId="3"/>
      <queryTableField id="4" name="group_I_70_Anz_Kontakte/I_70_Grund_o_Resultat_des_Kont" tableColumnId="4"/>
      <queryTableField id="5" name="_id" tableColumnId="5"/>
      <queryTableField id="6" name="_uuid" tableColumnId="6"/>
      <queryTableField id="7" name="_submission_time" tableColumnId="7"/>
      <queryTableField id="8" name="_index" tableColumnId="8"/>
      <queryTableField id="9" name="_parent_table_name" tableColumnId="9"/>
      <queryTableField id="10" name="_parent_index" tableColumnId="10"/>
      <queryTableField id="11" name="_tags" tableColumnId="11"/>
      <queryTableField id="12" name="_notes" tableColumnId="12"/>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ExterneDaten_1" connectionId="1" xr16:uid="{BF676E81-4A2F-48C4-814D-45A4D9030BFE}" autoFormatId="16" applyNumberFormats="0" applyBorderFormats="0" applyFontFormats="0" applyPatternFormats="0" applyAlignmentFormats="0" applyWidthHeightFormats="0">
  <queryTableRefresh nextId="15" unboundColumnsLeft="5">
    <queryTableFields count="14">
      <queryTableField id="14" dataBound="0" tableColumnId="14"/>
      <queryTableField id="13" dataBound="0" tableColumnId="13"/>
      <queryTableField id="12" dataBound="0" tableColumnId="12"/>
      <queryTableField id="11" dataBound="0" tableColumnId="11"/>
      <queryTableField id="10" dataBound="0" tableColumnId="10"/>
      <queryTableField id="1" name="group_I_10c_Neue_Angebote/Neue_Angebote_und_Leistungen" tableColumnId="1"/>
      <queryTableField id="2" name="_id" tableColumnId="2"/>
      <queryTableField id="3" name="_uuid" tableColumnId="3"/>
      <queryTableField id="4" name="_submission_time" tableColumnId="4"/>
      <queryTableField id="5" name="_index" tableColumnId="5"/>
      <queryTableField id="6" name="_parent_table_name" tableColumnId="6"/>
      <queryTableField id="7" name="_parent_index" tableColumnId="7"/>
      <queryTableField id="8" name="_tags" tableColumnId="8"/>
      <queryTableField id="9" name="_notes" tableColumnId="9"/>
    </queryTableFields>
  </queryTableRefresh>
</queryTable>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ExterneDaten_2" connectionId="2" xr16:uid="{52C4CB5A-0867-449D-937D-3E52DF6683E9}" autoFormatId="16" applyNumberFormats="0" applyBorderFormats="0" applyFontFormats="0" applyPatternFormats="0" applyAlignmentFormats="0" applyWidthHeightFormats="0">
  <queryTableRefresh nextId="23" unboundColumnsLeft="5">
    <queryTableFields count="22">
      <queryTableField id="22" dataBound="0" tableColumnId="22"/>
      <queryTableField id="21" dataBound="0" tableColumnId="21"/>
      <queryTableField id="20" dataBound="0" tableColumnId="20"/>
      <queryTableField id="19" dataBound="0" tableColumnId="19"/>
      <queryTableField id="18" dataBound="0" tableColumnId="18"/>
      <queryTableField id="1" name="group_I_40_Partnerorg/I_40_Erfasse_Partnerorganisation" tableColumnId="1"/>
      <queryTableField id="2" name="group_I_40_Partnerorg/Art_der_Partnerorganisation" tableColumnId="2"/>
      <queryTableField id="3" name="group_I_40_Partnerorg/Art_der_Partnerorganisation/kirchlich_denominationell" tableColumnId="3"/>
      <queryTableField id="4" name="group_I_40_Partnerorg/Art_der_Partnerorganisation/christlich_nicht_denominationell" tableColumnId="4"/>
      <queryTableField id="5" name="group_I_40_Partnerorg/Art_der_Partnerorganisation/weltlich" tableColumnId="5"/>
      <queryTableField id="6" name="group_I_40_Partnerorg/Art_der_Partnerorganisation/staatlich" tableColumnId="6"/>
      <queryTableField id="7" name="group_I_40_Partnerorg/Art_der_Partnerorganisation/offiziell_anerkannt_und_registriert" tableColumnId="7"/>
      <queryTableField id="8" name="group_I_40_Partnerorg/Art_der_Partnerorganisation/formelle_Zusammenarbeit_mit_Vertrag" tableColumnId="8"/>
      <queryTableField id="9" name="group_I_40_Partnerorg/Art_der_Partnerorganisation/informelle_Zusammenarbeit_ohne_Vertrag" tableColumnId="9"/>
      <queryTableField id="10" name="_id" tableColumnId="10"/>
      <queryTableField id="11" name="_uuid" tableColumnId="11"/>
      <queryTableField id="12" name="_submission_time" tableColumnId="12"/>
      <queryTableField id="13" name="_index" tableColumnId="13"/>
      <queryTableField id="14" name="_parent_table_name" tableColumnId="14"/>
      <queryTableField id="15" name="_parent_index" tableColumnId="15"/>
      <queryTableField id="16" name="_tags" tableColumnId="16"/>
      <queryTableField id="17" name="_notes" tableColumnId="17"/>
    </queryTableFields>
  </queryTableRefresh>
</queryTable>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ExterneDaten_3" connectionId="3" xr16:uid="{D7CBA01A-7888-48AE-ABC1-BD7B8367AF96}" autoFormatId="16" applyNumberFormats="0" applyBorderFormats="0" applyFontFormats="0" applyPatternFormats="0" applyAlignmentFormats="0" applyWidthHeightFormats="0">
  <queryTableRefresh nextId="22" unboundColumnsLeft="5">
    <queryTableFields count="21">
      <queryTableField id="19" dataBound="0" tableColumnId="19"/>
      <queryTableField id="18" dataBound="0" tableColumnId="18"/>
      <queryTableField id="17" dataBound="0" tableColumnId="17"/>
      <queryTableField id="16" dataBound="0" tableColumnId="16"/>
      <queryTableField id="15" dataBound="0" tableColumnId="15"/>
      <queryTableField id="1" name="group_I_41_Einsatzleistende/Name_und_Vorname_Einsatzleistende_r" tableColumnId="1"/>
      <queryTableField id="2" name="group_I_41_Einsatzleistende/Geschlecht" tableColumnId="2"/>
      <queryTableField id="21" dataBound="0" tableColumnId="21"/>
      <queryTableField id="20" dataBound="0" tableColumnId="20"/>
      <queryTableField id="3" name="group_I_41_Einsatzleistende/Einsatzart" tableColumnId="3"/>
      <queryTableField id="4" name="group_I_41_Einsatzleistende/Funktion" tableColumnId="4"/>
      <queryTableField id="5" name="group_I_41_Einsatzleistende/Im_Einsatz_seit" tableColumnId="5"/>
      <queryTableField id="6" name="group_I_41_Einsatzleistende/Einsatz_geplant_bis_voraussichtlich" tableColumnId="6"/>
      <queryTableField id="7" name="_id" tableColumnId="7"/>
      <queryTableField id="8" name="_uuid" tableColumnId="8"/>
      <queryTableField id="9" name="_submission_time" tableColumnId="9"/>
      <queryTableField id="10" name="_index" tableColumnId="10"/>
      <queryTableField id="11" name="_parent_table_name" tableColumnId="11"/>
      <queryTableField id="12" name="_parent_index" tableColumnId="12"/>
      <queryTableField id="13" name="_tags" tableColumnId="13"/>
      <queryTableField id="14" name="_notes" tableColumnId="14"/>
    </queryTableFields>
  </queryTableRefresh>
</queryTable>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ExterneDaten_4" connectionId="4" xr16:uid="{9DE53E94-3C7B-450E-A527-679A71FA4CE0}" autoFormatId="16" applyNumberFormats="0" applyBorderFormats="0" applyFontFormats="0" applyPatternFormats="0" applyAlignmentFormats="0" applyWidthHeightFormats="0">
  <queryTableRefresh nextId="15" unboundColumnsLeft="5">
    <queryTableFields count="14">
      <queryTableField id="14" dataBound="0" tableColumnId="14"/>
      <queryTableField id="13" dataBound="0" tableColumnId="13"/>
      <queryTableField id="12" dataBound="0" tableColumnId="12"/>
      <queryTableField id="11" dataBound="0" tableColumnId="11"/>
      <queryTableField id="10" dataBound="0" tableColumnId="10"/>
      <queryTableField id="1" name="group_I_50_strukt_Veraend/I_50_Beschreibe_org_Veraender" tableColumnId="1"/>
      <queryTableField id="2" name="_id" tableColumnId="2"/>
      <queryTableField id="3" name="_uuid" tableColumnId="3"/>
      <queryTableField id="4" name="_submission_time" tableColumnId="4"/>
      <queryTableField id="5" name="_index" tableColumnId="5"/>
      <queryTableField id="6" name="_parent_table_name" tableColumnId="6"/>
      <queryTableField id="7" name="_parent_index" tableColumnId="7"/>
      <queryTableField id="8" name="_tags" tableColumnId="8"/>
      <queryTableField id="9" name="_notes" tableColumnId="9"/>
    </queryTableFields>
  </queryTableRefresh>
</queryTable>
</file>

<file path=xl/queryTables/queryTable6.xml><?xml version="1.0" encoding="utf-8"?>
<queryTable xmlns="http://schemas.openxmlformats.org/spreadsheetml/2006/main" xmlns:mc="http://schemas.openxmlformats.org/markup-compatibility/2006" xmlns:xr16="http://schemas.microsoft.com/office/spreadsheetml/2017/revision16" mc:Ignorable="xr16" name="ExterneDaten_5" connectionId="5" xr16:uid="{5E1F9A3D-258B-484A-8803-0B06CA3EF515}" autoFormatId="16" applyNumberFormats="0" applyBorderFormats="0" applyFontFormats="0" applyPatternFormats="0" applyAlignmentFormats="0" applyWidthHeightFormats="0">
  <queryTableRefresh nextId="18" unboundColumnsLeft="5">
    <queryTableFields count="17">
      <queryTableField id="17" dataBound="0" tableColumnId="17"/>
      <queryTableField id="16" dataBound="0" tableColumnId="16"/>
      <queryTableField id="15" dataBound="0" tableColumnId="15"/>
      <queryTableField id="14" dataBound="0" tableColumnId="14"/>
      <queryTableField id="13" dataBound="0" tableColumnId="13"/>
      <queryTableField id="1" name="group_I_51_WB_Admin/I_51a_Beschreibe_WB_Admin_Pers" tableColumnId="1"/>
      <queryTableField id="2" name="group_I_51_WB_Admin/Anzahl_Tage_WB_Coaching_I51" tableColumnId="2"/>
      <queryTableField id="3" name="group_I_51_WB_Admin/I_51b_Anzahl_beg_Maenner" tableColumnId="3"/>
      <queryTableField id="4" name="group_I_51_WB_Admin/I_51b_Anzahl_beg_Frauen" tableColumnId="4"/>
      <queryTableField id="5" name="_id" tableColumnId="5"/>
      <queryTableField id="6" name="_uuid" tableColumnId="6"/>
      <queryTableField id="7" name="_submission_time" tableColumnId="7"/>
      <queryTableField id="8" name="_index" tableColumnId="8"/>
      <queryTableField id="9" name="_parent_table_name" tableColumnId="9"/>
      <queryTableField id="10" name="_parent_index" tableColumnId="10"/>
      <queryTableField id="11" name="_tags" tableColumnId="11"/>
      <queryTableField id="12" name="_notes" tableColumnId="12"/>
    </queryTableFields>
  </queryTableRefresh>
</queryTable>
</file>

<file path=xl/queryTables/queryTable7.xml><?xml version="1.0" encoding="utf-8"?>
<queryTable xmlns="http://schemas.openxmlformats.org/spreadsheetml/2006/main" xmlns:mc="http://schemas.openxmlformats.org/markup-compatibility/2006" xmlns:xr16="http://schemas.microsoft.com/office/spreadsheetml/2017/revision16" mc:Ignorable="xr16" name="ExterneDaten_6" connectionId="6" xr16:uid="{096899C9-AEE1-4E8D-AD04-A714C9C33E9B}" autoFormatId="16" applyNumberFormats="0" applyBorderFormats="0" applyFontFormats="0" applyPatternFormats="0" applyAlignmentFormats="0" applyWidthHeightFormats="0">
  <queryTableRefresh nextId="18" unboundColumnsLeft="5">
    <queryTableFields count="17">
      <queryTableField id="17" dataBound="0" tableColumnId="17"/>
      <queryTableField id="16" dataBound="0" tableColumnId="16"/>
      <queryTableField id="15" dataBound="0" tableColumnId="15"/>
      <queryTableField id="14" dataBound="0" tableColumnId="14"/>
      <queryTableField id="13" dataBound="0" tableColumnId="13"/>
      <queryTableField id="1" name="group_I_52_WB_Fachpers/I_52a_Beschreibe_WB_Fachperson" tableColumnId="1"/>
      <queryTableField id="2" name="group_I_52_WB_Fachpers/Anzahl_Tage_WB_Coaching_I52" tableColumnId="2"/>
      <queryTableField id="3" name="group_I_52_WB_Fachpers/I_52b_Anzahl_beg_Maenner" tableColumnId="3"/>
      <queryTableField id="4" name="group_I_52_WB_Fachpers/I_52b_Anzahl_beg_Frauen" tableColumnId="4"/>
      <queryTableField id="5" name="_id" tableColumnId="5"/>
      <queryTableField id="6" name="_uuid" tableColumnId="6"/>
      <queryTableField id="7" name="_submission_time" tableColumnId="7"/>
      <queryTableField id="8" name="_index" tableColumnId="8"/>
      <queryTableField id="9" name="_parent_table_name" tableColumnId="9"/>
      <queryTableField id="10" name="_parent_index" tableColumnId="10"/>
      <queryTableField id="11" name="_tags" tableColumnId="11"/>
      <queryTableField id="12" name="_notes" tableColumnId="12"/>
    </queryTableFields>
  </queryTableRefresh>
</queryTable>
</file>

<file path=xl/queryTables/queryTable8.xml><?xml version="1.0" encoding="utf-8"?>
<queryTable xmlns="http://schemas.openxmlformats.org/spreadsheetml/2006/main" xmlns:mc="http://schemas.openxmlformats.org/markup-compatibility/2006" xmlns:xr16="http://schemas.microsoft.com/office/spreadsheetml/2017/revision16" mc:Ignorable="xr16" name="ExterneDaten_7" connectionId="7" xr16:uid="{F0C65B3B-4053-4F5D-9454-263C35195485}" autoFormatId="16" applyNumberFormats="0" applyBorderFormats="0" applyFontFormats="0" applyPatternFormats="0" applyAlignmentFormats="0" applyWidthHeightFormats="0">
  <queryTableRefresh nextId="16" unboundColumnsLeft="5">
    <queryTableFields count="15">
      <queryTableField id="15" dataBound="0" tableColumnId="15"/>
      <queryTableField id="14" dataBound="0" tableColumnId="14"/>
      <queryTableField id="13" dataBound="0" tableColumnId="13"/>
      <queryTableField id="12" dataBound="0" tableColumnId="12"/>
      <queryTableField id="11" dataBound="0" tableColumnId="11"/>
      <queryTableField id="1" name="group_I_53_Infrastruktur/Beschreibe_die_Investition" tableColumnId="1"/>
      <queryTableField id="2" name="group_I_53_Infrastruktur/Investition_in_CHF" tableColumnId="2"/>
      <queryTableField id="3" name="_id" tableColumnId="3"/>
      <queryTableField id="4" name="_uuid" tableColumnId="4"/>
      <queryTableField id="5" name="_submission_time" tableColumnId="5"/>
      <queryTableField id="6" name="_index" tableColumnId="6"/>
      <queryTableField id="7" name="_parent_table_name" tableColumnId="7"/>
      <queryTableField id="8" name="_parent_index" tableColumnId="8"/>
      <queryTableField id="9" name="_tags" tableColumnId="9"/>
      <queryTableField id="10" name="_notes" tableColumnId="10"/>
    </queryTableFields>
  </queryTableRefresh>
</queryTable>
</file>

<file path=xl/queryTables/queryTable9.xml><?xml version="1.0" encoding="utf-8"?>
<queryTable xmlns="http://schemas.openxmlformats.org/spreadsheetml/2006/main" xmlns:mc="http://schemas.openxmlformats.org/markup-compatibility/2006" xmlns:xr16="http://schemas.microsoft.com/office/spreadsheetml/2017/revision16" mc:Ignorable="xr16" name="ExterneDaten_8" connectionId="8" xr16:uid="{1FF4911B-5DDA-4563-B5E7-CD49D03AF30B}" autoFormatId="16" applyNumberFormats="0" applyBorderFormats="0" applyFontFormats="0" applyPatternFormats="0" applyAlignmentFormats="0" applyWidthHeightFormats="0">
  <queryTableRefresh nextId="15" unboundColumnsLeft="5">
    <queryTableFields count="14">
      <queryTableField id="14" dataBound="0" tableColumnId="14"/>
      <queryTableField id="13" dataBound="0" tableColumnId="13"/>
      <queryTableField id="12" dataBound="0" tableColumnId="12"/>
      <queryTableField id="11" dataBound="0" tableColumnId="11"/>
      <queryTableField id="10" dataBound="0" tableColumnId="10"/>
      <queryTableField id="1" name="group_I_54_Hilfsmittel/I_54_Art_der_Methoden_Hilfsmit" tableColumnId="1"/>
      <queryTableField id="2" name="_id" tableColumnId="2"/>
      <queryTableField id="3" name="_uuid" tableColumnId="3"/>
      <queryTableField id="4" name="_submission_time" tableColumnId="4"/>
      <queryTableField id="5" name="_index" tableColumnId="5"/>
      <queryTableField id="6" name="_parent_table_name" tableColumnId="6"/>
      <queryTableField id="7" name="_parent_index" tableColumnId="7"/>
      <queryTableField id="8" name="_tags" tableColumnId="8"/>
      <queryTableField id="9" name="_notes" tableColumnId="9"/>
    </queryTableFields>
  </queryTableRefresh>
</queryTable>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Name" xr10:uid="{8AFD4CC3-2831-46B3-AE16-3D0EE3ACB7C5}" sourceName="Name">
  <pivotTables>
    <pivotTable tabId="13" name="PivotTable3"/>
    <pivotTable tabId="13" name="PivotTable4"/>
    <pivotTable tabId="13" name="PivotTable5"/>
    <pivotTable tabId="13" name="PivotTable6"/>
    <pivotTable tabId="19" name="PivotTable1"/>
  </pivotTables>
  <data>
    <tabular pivotCacheId="1250323087">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Land" xr10:uid="{DEBB3C02-17FE-490B-A1A5-746B2D6D2FB3}" sourceName="Land">
  <pivotTables>
    <pivotTable tabId="13" name="PivotTable3"/>
    <pivotTable tabId="13" name="PivotTable4"/>
    <pivotTable tabId="13" name="PivotTable5"/>
    <pivotTable tabId="13" name="PivotTable6"/>
    <pivotTable tabId="19" name="PivotTable1"/>
  </pivotTables>
  <data>
    <tabular pivotCacheId="1250323087">
      <items count="11">
        <i x="2" s="1"/>
        <i x="0" s="1"/>
        <i x="3" s="1"/>
        <i x="4" s="1"/>
        <i x="5" s="1"/>
        <i x="6" s="1"/>
        <i x="7" s="1"/>
        <i x="8" s="1"/>
        <i x="9" s="1"/>
        <i x="10" s="1"/>
        <i x="1"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Projekt" xr10:uid="{B662922C-D0CE-4CAA-B78D-B870305F6A6A}" sourceName="Projekt">
  <pivotTables>
    <pivotTable tabId="13" name="PivotTable3"/>
    <pivotTable tabId="13" name="PivotTable4"/>
    <pivotTable tabId="13" name="PivotTable5"/>
    <pivotTable tabId="13" name="PivotTable6"/>
    <pivotTable tabId="19" name="PivotTable1"/>
  </pivotTables>
  <data>
    <tabular pivotCacheId="1250323087">
      <items count="13">
        <i x="6" s="1"/>
        <i x="12" s="1"/>
        <i x="4" s="1"/>
        <i x="8" s="1"/>
        <i x="0" s="1"/>
        <i x="3" s="1"/>
        <i x="7" s="1"/>
        <i x="11" s="1"/>
        <i x="1" s="1"/>
        <i x="2" s="1"/>
        <i x="9" s="1"/>
        <i x="5" s="1"/>
        <i x="10"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Teilprojekt" xr10:uid="{2C53FE46-F2EC-46A2-89FD-2E1D12F50C21}" sourceName="Teilprojekt">
  <pivotTables>
    <pivotTable tabId="13" name="PivotTable3"/>
    <pivotTable tabId="13" name="PivotTable4"/>
    <pivotTable tabId="13" name="PivotTable5"/>
    <pivotTable tabId="13" name="PivotTable6"/>
    <pivotTable tabId="19" name="PivotTable1"/>
  </pivotTables>
  <data>
    <tabular pivotCacheId="1250323087">
      <items count="15">
        <i x="5" s="1"/>
        <i x="6" s="1"/>
        <i x="4" s="1"/>
        <i x="7" s="1"/>
        <i x="13" s="1"/>
        <i x="1" s="1"/>
        <i x="11" s="1"/>
        <i x="10" s="1"/>
        <i x="12" s="1"/>
        <i x="8" s="1"/>
        <i x="14" s="1"/>
        <i x="0" s="1"/>
        <i x="3" s="1"/>
        <i x="2" s="1"/>
        <i x="9"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Name" xr10:uid="{C906A0D2-B0D1-49F4-A5A2-98548DC4E1AC}" cache="Datenschnitt_Name" caption="Name" rowHeight="241300"/>
  <slicer name="Land" xr10:uid="{7B706329-B01E-4AF1-B917-30A66DBE11C3}" cache="Datenschnitt_Land" caption="Land" startItem="7" rowHeight="241300"/>
  <slicer name="Projekt" xr10:uid="{A03536D0-9B79-4F69-A02C-3F80F62BDC8B}" cache="Datenschnitt_Projekt" caption="Projekt" rowHeight="241300"/>
  <slicer name="Teilprojekt" xr10:uid="{13DE9BE7-ABC1-4764-B32E-C1F452FE98CF}" cache="Datenschnitt_Teilprojekt" caption="Teilprojekt"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Name 1" xr10:uid="{FDA1BC61-8544-481E-8868-C196C8B5EE03}" cache="Datenschnitt_Name" caption="Name" rowHeight="241300"/>
  <slicer name="Land 1" xr10:uid="{2CBD673C-07E4-4917-A96C-DAA530CB4A45}" cache="Datenschnitt_Land" caption="Land" rowHeight="241300"/>
  <slicer name="Projekt 1" xr10:uid="{E4A42C33-0FE7-4EE8-B2A3-9B98AE0D0F7A}" cache="Datenschnitt_Projekt" caption="Projekt" rowHeight="241300"/>
  <slicer name="Teilprojekt 1" xr10:uid="{7A189C93-EABD-48A2-8029-67E3951B56AA}" cache="Datenschnitt_Teilprojekt" caption="Teilprojekt"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Name 2" xr10:uid="{B5424A5B-4169-49CD-B280-55E4394B8CEF}" cache="Datenschnitt_Name" caption="Name" rowHeight="241300"/>
  <slicer name="Land 2" xr10:uid="{09D34230-2EDD-4925-94EC-3DDC800596FE}" cache="Datenschnitt_Land" caption="Land" startItem="1" rowHeight="241300"/>
  <slicer name="Projekt 2" xr10:uid="{108E8F3F-3B27-4C6A-ADA5-7BF5ECA3C551}" cache="Datenschnitt_Projekt" caption="Projekt" rowHeight="241300"/>
  <slicer name="Teilprojekt 2" xr10:uid="{4D172524-A6FF-4B63-815F-054A87427EA6}" cache="Datenschnitt_Teilprojekt" caption="Teilprojekt" rowHeight="241300"/>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Name 3" xr10:uid="{B497BFE6-4D51-49E7-AB77-9E0B989471B3}" cache="Datenschnitt_Name" caption="Name" rowHeight="241300"/>
  <slicer name="Land 3" xr10:uid="{01E7E2D2-F3B8-4776-999C-8A72D7F9886F}" cache="Datenschnitt_Land" caption="Land" startItem="1" rowHeight="241300"/>
  <slicer name="Projekt 3" xr10:uid="{00F5D618-AF11-40E8-BABE-0E66519D5625}" cache="Datenschnitt_Projekt" caption="Projekt" rowHeight="241300"/>
  <slicer name="Teilprojekt 3" xr10:uid="{25974407-6250-43D5-9E30-2109302F8D3C}" cache="Datenschnitt_Teilprojekt" caption="Teilprojekt" rowHeight="241300"/>
</slicers>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CC0EA735-1200-48BE-A684-148526C7A8F2}" name="Haupttabelle" displayName="Haupttabelle" ref="A1:BE24" tableType="queryTable" totalsRowShown="0">
  <autoFilter ref="A1:BE24" xr:uid="{BF48A477-6934-427E-8C5E-933955CF8937}"/>
  <tableColumns count="57">
    <tableColumn id="56" xr3:uid="{4646196D-BFD7-4190-956C-D8587220415B}" uniqueName="56" name="Index" queryTableFieldId="56" dataDxfId="99">
      <calculatedColumnFormula>Haupttabelle[[#This Row],[_index]]</calculatedColumnFormula>
    </tableColumn>
    <tableColumn id="1" xr3:uid="{6A03FA52-A098-4FE9-8F2B-70FAF1AE8CDD}" uniqueName="1" name="start" queryTableFieldId="1" dataDxfId="98"/>
    <tableColumn id="2" xr3:uid="{99581C48-BAA5-4177-82CF-43F2B95285F7}" uniqueName="2" name="end" queryTableFieldId="2" dataDxfId="97"/>
    <tableColumn id="3" xr3:uid="{E9EC1591-41B6-4572-B4A8-3E12CCDEF874}" uniqueName="3" name="Name" queryTableFieldId="3" dataDxfId="96"/>
    <tableColumn id="4" xr3:uid="{3D90C7C0-2390-4969-8FFC-63BCC919626B}" uniqueName="4" name="Land" queryTableFieldId="4" dataDxfId="95"/>
    <tableColumn id="5" xr3:uid="{A3A28D20-A1B1-48DC-8DD7-2B6795DD1B59}" uniqueName="5" name="Projekt" queryTableFieldId="5" dataDxfId="94"/>
    <tableColumn id="6" xr3:uid="{A73DB678-0E43-4AB8-B53D-66E91F3B73AD}" uniqueName="6" name="Teilprojekt" queryTableFieldId="6" dataDxfId="93"/>
    <tableColumn id="7" xr3:uid="{8E8842EE-0FEB-4631-B4EF-B56D443FFABF}" uniqueName="7" name="Schwerpunkt" queryTableFieldId="7" dataDxfId="92"/>
    <tableColumn id="8" xr3:uid="{FC7EAA4C-EE5F-45A1-A71B-E045ECF3931B}" uniqueName="8" name="Waehle_Indikator" queryTableFieldId="8" dataDxfId="91"/>
    <tableColumn id="9" xr3:uid="{48AA5B73-11AE-40EC-B426-074463C11A2C}" uniqueName="9" name="Waehle_Indikator/I_10a" queryTableFieldId="9"/>
    <tableColumn id="10" xr3:uid="{84E2822F-B640-42E2-8773-A0CA5AF2BD4D}" uniqueName="10" name="Waehle_Indikator/I_10b" queryTableFieldId="10"/>
    <tableColumn id="11" xr3:uid="{39882A13-AC44-48FF-9DBF-633F1B700F7A}" uniqueName="11" name="Waehle_Indikator/I_10c" queryTableFieldId="11"/>
    <tableColumn id="12" xr3:uid="{3B007050-9E31-4661-A15B-E20D8E41E62C}" uniqueName="12" name="Waehle_Indikator/I_20" queryTableFieldId="12"/>
    <tableColumn id="13" xr3:uid="{8C6D873F-AFBF-4000-846C-E35BABBDC04A}" uniqueName="13" name="Waehle_Indikator/I_21" queryTableFieldId="13"/>
    <tableColumn id="14" xr3:uid="{E74B871C-29F5-481B-A6B1-E0A0BB246AA0}" uniqueName="14" name="Waehle_Indikator/I_30" queryTableFieldId="14"/>
    <tableColumn id="15" xr3:uid="{FB910467-15D4-4974-BEAE-93CEDDE43BDC}" uniqueName="15" name="Waehle_Indikator/I_40" queryTableFieldId="15"/>
    <tableColumn id="16" xr3:uid="{396A9918-E5F5-4AF7-82A2-EA6258D0EB9A}" uniqueName="16" name="Waehle_Indikator/I_41" queryTableFieldId="16"/>
    <tableColumn id="17" xr3:uid="{94DD5CD9-41A2-4A2A-88FB-C6795F372697}" uniqueName="17" name="Waehle_Indikator/I_50" queryTableFieldId="17"/>
    <tableColumn id="18" xr3:uid="{DE14FEBF-9E99-4B9D-A761-E17756379BBA}" uniqueName="18" name="Waehle_Indikator/I_51" queryTableFieldId="18"/>
    <tableColumn id="19" xr3:uid="{CC321199-FAA5-4E42-96D8-5890126B8248}" uniqueName="19" name="Waehle_Indikator/I_52" queryTableFieldId="19"/>
    <tableColumn id="20" xr3:uid="{B76261D8-8D7F-460B-B0C7-0213FA691BEB}" uniqueName="20" name="Waehle_Indikator/I_53" queryTableFieldId="20"/>
    <tableColumn id="21" xr3:uid="{2C63B2A2-F353-4558-9B16-6B0D19F62747}" uniqueName="21" name="Waehle_Indikator/I_54" queryTableFieldId="21"/>
    <tableColumn id="22" xr3:uid="{CC81537A-D51F-4479-9D2C-3DB408224B28}" uniqueName="22" name="Waehle_Indikator/I_60" queryTableFieldId="22"/>
    <tableColumn id="23" xr3:uid="{DFDF82D8-3430-4D23-9CAD-473E12DE6F1D}" uniqueName="23" name="Waehle_Indikator/I_61" queryTableFieldId="23"/>
    <tableColumn id="24" xr3:uid="{30525BD3-CCCF-481C-9DB4-759BA62891E8}" uniqueName="24" name="Waehle_Indikator/I_70" queryTableFieldId="24"/>
    <tableColumn id="25" xr3:uid="{04A18543-CE4C-4C79-A389-343003E8F8F9}" uniqueName="25" name="I_10a_Zunahme_Eigenfinanzierun" queryTableFieldId="25"/>
    <tableColumn id="26" xr3:uid="{214C6295-B462-43C2-95AB-B34DA7107973}" uniqueName="26" name="group_I_10b_Personelle_Abhaeng/I_10b_Abnahme_pers_Abhaengigke" queryTableFieldId="26" dataDxfId="90"/>
    <tableColumn id="27" xr3:uid="{98DFF8EA-F154-4AC9-B58F-99E95A6722A1}" uniqueName="27" name="group_I_10b_Personelle_Abhaeng/Verantwortung_uebernommen" queryTableFieldId="27" dataDxfId="89"/>
    <tableColumn id="28" xr3:uid="{3994A2F9-E656-45D4-ACBD-20044F09D39F}" uniqueName="28" name="group_I_20_Verantw_uebernommen/Anzahl_Jungen_Maenner_I20" queryTableFieldId="28"/>
    <tableColumn id="29" xr3:uid="{1BB7C145-2516-43F9-B21F-E71411C13339}" uniqueName="29" name="group_I_20_Verantw_uebernommen/Anzahl_Maedchen_Frauen_I20" queryTableFieldId="29"/>
    <tableColumn id="30" xr3:uid="{863DE93A-2B45-4D3A-831B-937B538478AE}" uniqueName="30" name="group_I_20_Verantw_uebernommen/Veraenderung_bei_Beguenstigten" queryTableFieldId="30" dataDxfId="88"/>
    <tableColumn id="31" xr3:uid="{8166A4F4-AB60-4CB0-91EE-3330B259CA76}" uniqueName="31" name="group_I_20_Verantw_uebernommen/Erzaehle_Geschichte" queryTableFieldId="31" dataDxfId="87"/>
    <tableColumn id="32" xr3:uid="{B7381D1E-FE3C-4D27-A386-1F839C90E246}" uniqueName="32" name="group_I_21_lebensv_Entwicklung/Geschichte_lebensv_Erfahrung" queryTableFieldId="32" dataDxfId="86"/>
    <tableColumn id="33" xr3:uid="{60921351-33EE-4561-AF34-BE3750CED916}" uniqueName="33" name="group_I_21_lebensv_Entwicklung/Foto_hochladen" queryTableFieldId="33"/>
    <tableColumn id="57" xr3:uid="{318829F2-22E0-4725-B81D-6BE6E897C175}" uniqueName="57" name="group_I_21_lebensv_Entwicklung/zweites_Photo" queryTableFieldId="57"/>
    <tableColumn id="34" xr3:uid="{3B6FB591-B421-4C2C-B701-E5CCFE32A1B4}" uniqueName="34" name="I_30_Veraenderung_System" queryTableFieldId="34" dataDxfId="85"/>
    <tableColumn id="35" xr3:uid="{F0907D1A-2828-4582-8939-F2BFCF9C55BF}" uniqueName="35" name="group_I_60_Beguenstigte/Beguenstigte" queryTableFieldId="35" dataDxfId="84"/>
    <tableColumn id="36" xr3:uid="{555DAF9D-C6C1-48C0-A9A9-DA506540B49C}" uniqueName="36" name="group_I_60_Beguenstigte/Anzahl_Jungen_Maenner_I60" queryTableFieldId="36"/>
    <tableColumn id="37" xr3:uid="{FA0E371A-246F-4948-BDD2-D0841C02EF1E}" uniqueName="37" name="group_I_60_Beguenstigte/Anzahl_Maedchen_Frauen_I60" queryTableFieldId="37"/>
    <tableColumn id="38" xr3:uid="{009CE4D7-7C6C-4A9F-B8FF-CDC40B698DCE}" uniqueName="38" name="group_I_61_geistlich_Beguensti/I_61_Art_der_Beguenstigung" queryTableFieldId="38" dataDxfId="83"/>
    <tableColumn id="39" xr3:uid="{97FFBC53-86DF-4C60-9F7E-6305262AA914}" uniqueName="39" name="group_I_61_geistlich_Beguensti/Anzahl_Jungen_Maenner_I61" queryTableFieldId="39"/>
    <tableColumn id="40" xr3:uid="{7AB2C61C-0A49-4463-81E4-8FB03AFECEDE}" uniqueName="40" name="group_I_61_geistlich_Beguensti/Anzahl_Maedchen_Frauen_I61" queryTableFieldId="40"/>
    <tableColumn id="41" xr3:uid="{63286CE9-D7DB-41ED-8CD6-A2D2A6DA65FA}" uniqueName="41" name="__version__" queryTableFieldId="41" dataDxfId="82"/>
    <tableColumn id="42" xr3:uid="{B04099CF-6E10-4219-9079-5C2800CAA1B6}" uniqueName="42" name="_version_" queryTableFieldId="42" dataDxfId="81"/>
    <tableColumn id="43" xr3:uid="{2DF3B97E-B0C0-4F74-8C99-F2326E418B63}" uniqueName="43" name="_version__001" queryTableFieldId="43" dataDxfId="80"/>
    <tableColumn id="44" xr3:uid="{6B052C27-561B-4AE2-A9E4-75FA18C5FBB8}" uniqueName="44" name="_version__002" queryTableFieldId="44" dataDxfId="79"/>
    <tableColumn id="45" xr3:uid="{46856F5E-5B32-407E-A591-1662FFD1C01D}" uniqueName="45" name="_version__003" queryTableFieldId="45" dataDxfId="78"/>
    <tableColumn id="46" xr3:uid="{1ED53A3F-33BC-4F46-96CE-0791C666AB27}" uniqueName="46" name="_version__004" queryTableFieldId="46" dataDxfId="77"/>
    <tableColumn id="47" xr3:uid="{E83579C0-1A36-4219-82CE-C877596E3530}" uniqueName="47" name="meta/instanceID" queryTableFieldId="47" dataDxfId="76"/>
    <tableColumn id="48" xr3:uid="{7A817A16-147D-4515-8E86-0862DDD61CE5}" uniqueName="48" name="_id" queryTableFieldId="48"/>
    <tableColumn id="49" xr3:uid="{F7223A45-CB2A-44B8-A5A5-41E7A872BCB8}" uniqueName="49" name="_uuid" queryTableFieldId="49" dataDxfId="75"/>
    <tableColumn id="50" xr3:uid="{4F8336C2-854D-4D63-AED2-2E1E02F064F7}" uniqueName="50" name="_submission_time" queryTableFieldId="50" dataDxfId="74"/>
    <tableColumn id="51" xr3:uid="{10A7BC72-8179-4B20-9FB9-361CD2885406}" uniqueName="51" name="_index" queryTableFieldId="51"/>
    <tableColumn id="52" xr3:uid="{9CA0D7FE-C06F-47BC-BFFF-A3EF990B7BE7}" uniqueName="52" name="_parent_table_name" queryTableFieldId="52"/>
    <tableColumn id="53" xr3:uid="{73CA6843-D042-43CF-B2CD-AF74D6168F42}" uniqueName="53" name="_parent_index" queryTableFieldId="53"/>
    <tableColumn id="54" xr3:uid="{1B38ADEE-3F96-429D-B141-24605EE98C40}" uniqueName="54" name="_tags" queryTableFieldId="54" dataDxfId="73"/>
    <tableColumn id="55" xr3:uid="{FBE75C78-8163-42AB-B347-ACE31EB8506C}" uniqueName="55" name="_notes" queryTableFieldId="55" dataDxfId="72"/>
  </tableColumns>
  <tableStyleInfo name="TableStyleMedium7"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712E17BA-E1BC-4D37-B6A6-EE045DE6C6B6}" name="group_I_70_Anz_Kontakte" displayName="group_I_70_Anz_Kontakte" ref="A1:Q5" tableType="queryTable" totalsRowShown="0">
  <autoFilter ref="A1:Q5" xr:uid="{C463D4BC-36C9-49D7-BAB5-1E46B9F819BD}"/>
  <tableColumns count="17">
    <tableColumn id="17" xr3:uid="{047F5C1D-7AA4-4109-9F7F-70A464B85A29}" uniqueName="17" name="Name" queryTableFieldId="17" dataDxfId="55">
      <calculatedColumnFormula>VLOOKUP(group_I_70_Anz_Kontakte[[#This Row],[_parent_index]],Haupttabelle[[#All],[Index]:[Schwerpunkt]],4)</calculatedColumnFormula>
    </tableColumn>
    <tableColumn id="16" xr3:uid="{A58B9919-AACA-42C7-B966-872A0BAAC05C}" uniqueName="16" name="Land" queryTableFieldId="16" dataDxfId="54">
      <calculatedColumnFormula>VLOOKUP(group_I_70_Anz_Kontakte[[#This Row],[_parent_index]],Haupttabelle[[#All],[Index]:[Schwerpunkt]],5)</calculatedColumnFormula>
    </tableColumn>
    <tableColumn id="15" xr3:uid="{09EDFC4B-478A-45F8-A691-9BF5D697D11E}" uniqueName="15" name="Projekt" queryTableFieldId="15" dataDxfId="53">
      <calculatedColumnFormula>VLOOKUP(group_I_70_Anz_Kontakte[[#This Row],[_parent_index]],Haupttabelle[[#All],[Index]:[Schwerpunkt]],6)</calculatedColumnFormula>
    </tableColumn>
    <tableColumn id="14" xr3:uid="{09778994-D64F-4D97-9F45-A058A9326570}" uniqueName="14" name="Teilprojekt" queryTableFieldId="14" dataDxfId="52">
      <calculatedColumnFormula>VLOOKUP(group_I_70_Anz_Kontakte[[#This Row],[_parent_index]],Haupttabelle[[#All],[Index]:[Schwerpunkt]],7)</calculatedColumnFormula>
    </tableColumn>
    <tableColumn id="13" xr3:uid="{F769AA6E-05A3-442C-8059-E151D72BDA8C}" uniqueName="13" name="Schwerpunkt" queryTableFieldId="13" dataDxfId="51">
      <calculatedColumnFormula>VLOOKUP(group_I_70_Anz_Kontakte[[#This Row],[_parent_index]],Haupttabelle[[#All],[Index]:[Schwerpunkt]],8)</calculatedColumnFormula>
    </tableColumn>
    <tableColumn id="1" xr3:uid="{28D964B6-842E-4E89-A0DF-FA1BF70B041F}" uniqueName="1" name="group_I_70_Anz_Kontakte/I_70_Kontakt_Systemebene" queryTableFieldId="1" dataDxfId="50"/>
    <tableColumn id="2" xr3:uid="{9C8D6D31-F71D-44E1-8FA9-A8ED6AB49862}" uniqueName="2" name="group_I_70_Anz_Kontakte/I_70_Art_der_Organisation" queryTableFieldId="2" dataDxfId="49"/>
    <tableColumn id="3" xr3:uid="{2BA3579D-3E42-4E07-8B99-643918D65645}" uniqueName="3" name="group_I_70_Anz_Kontakte/I_70_Wann_hat_der_Kontakt_stattgefunden" queryTableFieldId="3"/>
    <tableColumn id="4" xr3:uid="{C8896B09-5CA6-4068-8072-D2B7F806A5D6}" uniqueName="4" name="group_I_70_Anz_Kontakte/I_70_Grund_o_Resultat_des_Kont" queryTableFieldId="4" dataDxfId="48"/>
    <tableColumn id="5" xr3:uid="{CC3671F8-B04A-4630-8588-562B2F7E5E3F}" uniqueName="5" name="_id" queryTableFieldId="5"/>
    <tableColumn id="6" xr3:uid="{A5FF3F25-8AAC-48CF-B834-5DFD4437D762}" uniqueName="6" name="_uuid" queryTableFieldId="6"/>
    <tableColumn id="7" xr3:uid="{0590F632-BE0B-4A77-907B-A83B17BCA20B}" uniqueName="7" name="_submission_time" queryTableFieldId="7"/>
    <tableColumn id="8" xr3:uid="{9B985F08-6ABA-4501-8C8D-A5BCE58A0259}" uniqueName="8" name="_index" queryTableFieldId="8"/>
    <tableColumn id="9" xr3:uid="{299B7000-9B8B-466D-A2E9-088FD29119AA}" uniqueName="9" name="_parent_table_name" queryTableFieldId="9" dataDxfId="47"/>
    <tableColumn id="10" xr3:uid="{E65D33E8-29A9-48BD-A242-DE48BBF7B697}" uniqueName="10" name="_parent_index" queryTableFieldId="10"/>
    <tableColumn id="11" xr3:uid="{7DD1D18D-45EB-46E2-8092-1EFBDD6D9FD3}" uniqueName="11" name="_tags" queryTableFieldId="11"/>
    <tableColumn id="12" xr3:uid="{455EC80D-D338-49A9-BD4A-5DE792016EDF}" uniqueName="12" name="_notes" queryTableFieldId="12"/>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DB10225-F77F-484D-A2C1-AFDBCFE20BAA}" name="group_I_10c_Neue_Angebote" displayName="group_I_10c_Neue_Angebote" ref="A1:N5" tableType="queryTable" totalsRowShown="0">
  <autoFilter ref="A1:N5" xr:uid="{0EEE42DE-D748-41AF-A510-73FA4F4D8305}"/>
  <tableColumns count="14">
    <tableColumn id="14" xr3:uid="{7409CFEE-2465-457D-940B-D2DC1C302655}" uniqueName="14" name="Name" queryTableFieldId="14" dataDxfId="46">
      <calculatedColumnFormula>VLOOKUP(group_I_10c_Neue_Angebote[[#This Row],[_parent_index]],Haupttabelle[[#All],[Index]:[Schwerpunkt]],4)</calculatedColumnFormula>
    </tableColumn>
    <tableColumn id="13" xr3:uid="{F3C5AABF-0C31-4068-B575-FA1D25E6B6E6}" uniqueName="13" name="Land" queryTableFieldId="13" dataDxfId="45">
      <calculatedColumnFormula>VLOOKUP(group_I_10c_Neue_Angebote[[#This Row],[_parent_index]],Haupttabelle[[#All],[Index]:[Schwerpunkt]],5)</calculatedColumnFormula>
    </tableColumn>
    <tableColumn id="12" xr3:uid="{175BA446-C8DD-465E-B6DF-C922812B6A9E}" uniqueName="12" name="Projekt" queryTableFieldId="12" dataDxfId="44">
      <calculatedColumnFormula>VLOOKUP(group_I_10c_Neue_Angebote[[#This Row],[_parent_index]],Haupttabelle[[#All],[Index]:[Schwerpunkt]],6)</calculatedColumnFormula>
    </tableColumn>
    <tableColumn id="11" xr3:uid="{50160775-6785-423F-A424-9F0A0784FD58}" uniqueName="11" name="Teilprojekt" queryTableFieldId="11" dataDxfId="43">
      <calculatedColumnFormula>VLOOKUP(group_I_10c_Neue_Angebote[[#This Row],[_parent_index]],Haupttabelle[[#All],[Index]:[Schwerpunkt]],7)</calculatedColumnFormula>
    </tableColumn>
    <tableColumn id="10" xr3:uid="{955C97D4-1A3E-4BD0-9F0F-95FC9FAD44FD}" uniqueName="10" name="Schwerpunkt" queryTableFieldId="10" dataDxfId="42">
      <calculatedColumnFormula>VLOOKUP(group_I_10c_Neue_Angebote[[#This Row],[_parent_index]],Haupttabelle[[#All],[Index]:[Schwerpunkt]],8)</calculatedColumnFormula>
    </tableColumn>
    <tableColumn id="1" xr3:uid="{EACC50BF-5D89-4706-8F50-3257A0736123}" uniqueName="1" name="group_I_10c_Neue_Angebote/Neue_Angebote_und_Leistungen" queryTableFieldId="1" dataDxfId="41"/>
    <tableColumn id="2" xr3:uid="{8C613D88-10E2-4A8D-ACE8-8F06E6909BA4}" uniqueName="2" name="_id" queryTableFieldId="2"/>
    <tableColumn id="3" xr3:uid="{FB017986-BAE3-4A3C-AD86-7A7907F3110D}" uniqueName="3" name="_uuid" queryTableFieldId="3"/>
    <tableColumn id="4" xr3:uid="{E1D8497C-E146-475D-913B-CA38141CCB81}" uniqueName="4" name="_submission_time" queryTableFieldId="4"/>
    <tableColumn id="5" xr3:uid="{B114A157-EED5-43CA-A796-D000FB596B86}" uniqueName="5" name="_index" queryTableFieldId="5"/>
    <tableColumn id="6" xr3:uid="{EF64DAD0-B4A1-4A6E-9BE6-96BE5189DCA7}" uniqueName="6" name="_parent_table_name" queryTableFieldId="6" dataDxfId="40"/>
    <tableColumn id="7" xr3:uid="{12839DB6-DDAC-482D-8DEA-8D2BF0ADF168}" uniqueName="7" name="_parent_index" queryTableFieldId="7"/>
    <tableColumn id="8" xr3:uid="{18F6FDD1-373B-4B7F-824D-3B1326D55D6E}" uniqueName="8" name="_tags" queryTableFieldId="8"/>
    <tableColumn id="9" xr3:uid="{D9D0986D-B7D8-4160-8996-22D6DD227083}" uniqueName="9" name="_notes" queryTableFieldId="9"/>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9508E50-ECC7-4C78-AB97-E13A2D849A7C}" name="group_I_40_Partnerorg" displayName="group_I_40_Partnerorg" ref="A1:V6" tableType="queryTable" totalsRowShown="0">
  <autoFilter ref="A1:V6" xr:uid="{85514C29-C201-4697-B242-1E4A4FD9BD17}"/>
  <tableColumns count="22">
    <tableColumn id="22" xr3:uid="{8450532E-26CA-4536-AD57-2C5AA248E336}" uniqueName="22" name="Name" queryTableFieldId="22" dataDxfId="39">
      <calculatedColumnFormula>VLOOKUP(group_I_40_Partnerorg[[#This Row],[_parent_index]],Haupttabelle[[#All],[Index]:[Schwerpunkt]],4)</calculatedColumnFormula>
    </tableColumn>
    <tableColumn id="21" xr3:uid="{8B36D8B8-EE97-4381-9B2C-7B00F2356D17}" uniqueName="21" name="Land" queryTableFieldId="21" dataDxfId="38">
      <calculatedColumnFormula>VLOOKUP(group_I_40_Partnerorg[[#This Row],[_parent_index]],Haupttabelle[[#All],[Index]:[Schwerpunkt]],5)</calculatedColumnFormula>
    </tableColumn>
    <tableColumn id="20" xr3:uid="{4D7DCFCD-8380-45B8-A770-6CA41F6F55FD}" uniqueName="20" name="Projekt" queryTableFieldId="20" dataDxfId="37">
      <calculatedColumnFormula>VLOOKUP(group_I_40_Partnerorg[[#This Row],[_parent_index]],Haupttabelle[[#All],[Index]:[Schwerpunkt]],6)</calculatedColumnFormula>
    </tableColumn>
    <tableColumn id="19" xr3:uid="{672B631D-8F7F-4F47-90E3-322865DEECA8}" uniqueName="19" name="Teilprojekt" queryTableFieldId="19" dataDxfId="36">
      <calculatedColumnFormula>VLOOKUP(group_I_40_Partnerorg[[#This Row],[_parent_index]],Haupttabelle[[#All],[Index]:[Schwerpunkt]],7)</calculatedColumnFormula>
    </tableColumn>
    <tableColumn id="18" xr3:uid="{53C51C0B-33FC-4AB4-92C9-6A5AD145CA32}" uniqueName="18" name="Schwerpunkt" queryTableFieldId="18" dataDxfId="35">
      <calculatedColumnFormula>VLOOKUP(group_I_40_Partnerorg[[#This Row],[_parent_index]],Haupttabelle[[#All],[Index]:[Schwerpunkt]],8)</calculatedColumnFormula>
    </tableColumn>
    <tableColumn id="1" xr3:uid="{02C2290B-90B2-4D56-82B4-9BAA8009AF95}" uniqueName="1" name="group_I_40_Partnerorg/I_40_Erfasse_Partnerorganisation" queryTableFieldId="1" dataDxfId="34"/>
    <tableColumn id="2" xr3:uid="{8ECF3145-A7AB-4A4E-99EC-24548E866FC7}" uniqueName="2" name="group_I_40_Partnerorg/Art_der_Partnerorganisation" queryTableFieldId="2" dataDxfId="33"/>
    <tableColumn id="3" xr3:uid="{E6DE1A6A-D410-4F06-88C2-C7E604F34935}" uniqueName="3" name="group_I_40_Partnerorg/Art_der_Partnerorganisation/kirchlich_denominationell" queryTableFieldId="3"/>
    <tableColumn id="4" xr3:uid="{4A1F369F-C507-4D38-9324-51E54EE55E6C}" uniqueName="4" name="group_I_40_Partnerorg/Art_der_Partnerorganisation/christlich_nicht_denominationell" queryTableFieldId="4"/>
    <tableColumn id="5" xr3:uid="{F1F4DA2B-5235-481F-990E-F32AEAC5538C}" uniqueName="5" name="group_I_40_Partnerorg/Art_der_Partnerorganisation/weltlich" queryTableFieldId="5"/>
    <tableColumn id="6" xr3:uid="{28DA6E0F-166C-4892-BDD6-E85F64C09A2D}" uniqueName="6" name="group_I_40_Partnerorg/Art_der_Partnerorganisation/staatlich" queryTableFieldId="6"/>
    <tableColumn id="7" xr3:uid="{9A7E7026-6603-4386-8252-B4F2DAF325D2}" uniqueName="7" name="group_I_40_Partnerorg/Art_der_Partnerorganisation/offiziell_anerkannt_und_registriert" queryTableFieldId="7"/>
    <tableColumn id="8" xr3:uid="{FCA65119-B754-4D3F-BAF5-1A69A4EDDD7A}" uniqueName="8" name="group_I_40_Partnerorg/Art_der_Partnerorganisation/formelle_Zusammenarbeit_mit_Vertrag" queryTableFieldId="8"/>
    <tableColumn id="9" xr3:uid="{52466D03-BC14-4E26-9DE2-069902C9A992}" uniqueName="9" name="group_I_40_Partnerorg/Art_der_Partnerorganisation/informelle_Zusammenarbeit_ohne_Vertrag" queryTableFieldId="9"/>
    <tableColumn id="10" xr3:uid="{52264870-6FAB-4C76-B2AE-17EDEF259C45}" uniqueName="10" name="_id" queryTableFieldId="10"/>
    <tableColumn id="11" xr3:uid="{85C83236-8BB2-4B77-BFE2-0407C901589C}" uniqueName="11" name="_uuid" queryTableFieldId="11"/>
    <tableColumn id="12" xr3:uid="{BACF0649-BAE1-4062-8B2A-0AE1064574C5}" uniqueName="12" name="_submission_time" queryTableFieldId="12"/>
    <tableColumn id="13" xr3:uid="{72523056-B5AF-48D2-93DD-3EDCEBDC4B09}" uniqueName="13" name="_index" queryTableFieldId="13"/>
    <tableColumn id="14" xr3:uid="{3EB8C5C1-77AF-4EB2-99B4-BA3F991B7996}" uniqueName="14" name="_parent_table_name" queryTableFieldId="14" dataDxfId="32"/>
    <tableColumn id="15" xr3:uid="{127025FB-9CFA-4414-B54D-D56A07AB64A3}" uniqueName="15" name="_parent_index" queryTableFieldId="15"/>
    <tableColumn id="16" xr3:uid="{C62F44A0-208A-4C59-B418-59429B916A4D}" uniqueName="16" name="_tags" queryTableFieldId="16"/>
    <tableColumn id="17" xr3:uid="{53EC249C-69EC-4D8F-B11A-08F8D2740620}" uniqueName="17" name="_notes" queryTableFieldId="17"/>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BE9C360-18CB-46DB-883E-6D7EFEA397EA}" name="group_I_41_Einsatzleistende" displayName="group_I_41_Einsatzleistende" ref="A1:U6" tableType="queryTable" totalsRowShown="0">
  <autoFilter ref="A1:U6" xr:uid="{D58F7DAF-3D36-4058-A2D6-AAAEDF8E9103}"/>
  <tableColumns count="21">
    <tableColumn id="19" xr3:uid="{405170AA-F534-43EA-9F9B-A86DF7E5E55A}" uniqueName="19" name="Name" queryTableFieldId="19" dataDxfId="31">
      <calculatedColumnFormula>VLOOKUP(group_I_41_Einsatzleistende[[#This Row],[_parent_index]],Haupttabelle[[#All],[Index]:[Schwerpunkt]],4)</calculatedColumnFormula>
    </tableColumn>
    <tableColumn id="18" xr3:uid="{066ACCF9-F183-4D95-AD09-21579131F134}" uniqueName="18" name="Land" queryTableFieldId="18" dataDxfId="30">
      <calculatedColumnFormula>VLOOKUP(group_I_41_Einsatzleistende[[#This Row],[_parent_index]],Haupttabelle[[#All],[Index]:[Schwerpunkt]],5)</calculatedColumnFormula>
    </tableColumn>
    <tableColumn id="17" xr3:uid="{6917E111-A81B-4331-8887-AE4F99ACEFF9}" uniqueName="17" name="Projekt" queryTableFieldId="17" dataDxfId="29">
      <calculatedColumnFormula>VLOOKUP(group_I_41_Einsatzleistende[[#This Row],[_parent_index]],Haupttabelle[[#All],[Index]:[Schwerpunkt]],6)</calculatedColumnFormula>
    </tableColumn>
    <tableColumn id="16" xr3:uid="{EEDED9A2-26BA-4905-8466-38E9D7E7CC55}" uniqueName="16" name="Teilprojekt" queryTableFieldId="16" dataDxfId="28">
      <calculatedColumnFormula>VLOOKUP(group_I_41_Einsatzleistende[[#This Row],[_parent_index]],Haupttabelle[[#All],[Index]:[Schwerpunkt]],7)</calculatedColumnFormula>
    </tableColumn>
    <tableColumn id="15" xr3:uid="{27E8BE7D-FC6F-4324-B512-84C581CA3DC8}" uniqueName="15" name="Schwerpunkt" queryTableFieldId="15" dataDxfId="27">
      <calculatedColumnFormula>VLOOKUP(group_I_41_Einsatzleistende[[#This Row],[_parent_index]],Haupttabelle[[#All],[Index]:[Schwerpunkt]],8)</calculatedColumnFormula>
    </tableColumn>
    <tableColumn id="1" xr3:uid="{7DB788A6-ACC5-41DF-A07E-C79AD01768A2}" uniqueName="1" name="group_I_41_Einsatzleistende/Name_und_Vorname_Einsatzleistende_r" queryTableFieldId="1" dataDxfId="26"/>
    <tableColumn id="2" xr3:uid="{3B80E503-6298-444D-99CD-CA33F92A515F}" uniqueName="2" name="group_I_41_Einsatzleistende/Geschlecht" queryTableFieldId="2" dataDxfId="25"/>
    <tableColumn id="21" xr3:uid="{17A25598-FA13-4F11-BEA1-AD2BF8CFFFE1}" uniqueName="21" name="Anzahl M" queryTableFieldId="21" dataDxfId="24">
      <calculatedColumnFormula>IF(group_I_41_Einsatzleistende[[#This Row],[group_I_41_Einsatzleistende/Geschlecht]]="m",1,"")</calculatedColumnFormula>
    </tableColumn>
    <tableColumn id="20" xr3:uid="{96E088CC-FD2D-4AC4-AB74-BDAEBA90107A}" uniqueName="20" name="Anzahl F" queryTableFieldId="20" dataDxfId="23">
      <calculatedColumnFormula>IF(group_I_41_Einsatzleistende[[#This Row],[group_I_41_Einsatzleistende/Geschlecht]]="f",1,"")</calculatedColumnFormula>
    </tableColumn>
    <tableColumn id="3" xr3:uid="{42B85C2B-6211-4B11-A66F-3E97932870C4}" uniqueName="3" name="group_I_41_Einsatzleistende/Einsatzart" queryTableFieldId="3" dataDxfId="22"/>
    <tableColumn id="4" xr3:uid="{6BE6CB8A-98E9-40D3-B352-D42231D76A72}" uniqueName="4" name="group_I_41_Einsatzleistende/Funktion" queryTableFieldId="4" dataDxfId="21"/>
    <tableColumn id="5" xr3:uid="{2A40A79B-C9F8-4371-B947-71C37C13F766}" uniqueName="5" name="group_I_41_Einsatzleistende/Im_Einsatz_seit" queryTableFieldId="5"/>
    <tableColumn id="6" xr3:uid="{626FCDAE-4201-4C89-AF9E-D876C7EDD64A}" uniqueName="6" name="group_I_41_Einsatzleistende/Einsatz_geplant_bis_voraussichtlich" queryTableFieldId="6"/>
    <tableColumn id="7" xr3:uid="{59BACFB0-78E6-4268-9879-ABC20AA7A1B7}" uniqueName="7" name="_id" queryTableFieldId="7"/>
    <tableColumn id="8" xr3:uid="{56D6F3A6-E27E-4E98-8D64-1AC875FACFCE}" uniqueName="8" name="_uuid" queryTableFieldId="8"/>
    <tableColumn id="9" xr3:uid="{5DB947EA-8ACF-435E-8FC2-7D7B35DEC5CE}" uniqueName="9" name="_submission_time" queryTableFieldId="9"/>
    <tableColumn id="10" xr3:uid="{1746D1BB-2FDD-4B53-88EF-0F58A2870F12}" uniqueName="10" name="_index" queryTableFieldId="10"/>
    <tableColumn id="11" xr3:uid="{3850630C-477C-4E17-BF03-B3077303C144}" uniqueName="11" name="_parent_table_name" queryTableFieldId="11" dataDxfId="20"/>
    <tableColumn id="12" xr3:uid="{07E5DD3E-9294-44A2-821D-392067682B42}" uniqueName="12" name="_parent_index" queryTableFieldId="12"/>
    <tableColumn id="13" xr3:uid="{C54F41AC-7BB4-430F-99E6-11E7951EC024}" uniqueName="13" name="_tags" queryTableFieldId="13"/>
    <tableColumn id="14" xr3:uid="{9421F269-0C93-4C74-8E7D-B7EE6D7BC441}" uniqueName="14" name="_notes" queryTableFieldId="14"/>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15C1BE6-0528-442B-A6C5-1C7D75E94FDB}" name="group_I_50_strukt_Veraend" displayName="group_I_50_strukt_Veraend" ref="A1:N6" tableType="queryTable" totalsRowShown="0">
  <autoFilter ref="A1:N6" xr:uid="{EA01F8D3-0D14-4C07-A70F-A0501F5BEF1E}"/>
  <tableColumns count="14">
    <tableColumn id="14" xr3:uid="{048E0233-4F6D-4D00-8300-9F9D82AC2B16}" uniqueName="14" name="Name" queryTableFieldId="14" dataDxfId="19">
      <calculatedColumnFormula>VLOOKUP(group_I_50_strukt_Veraend[[#This Row],[_parent_index]],Haupttabelle[[#All],[Index]:[Schwerpunkt]],4)</calculatedColumnFormula>
    </tableColumn>
    <tableColumn id="13" xr3:uid="{DA511F26-95A2-494A-BEA2-DDF9C026C85D}" uniqueName="13" name="Land" queryTableFieldId="13" dataDxfId="18">
      <calculatedColumnFormula>VLOOKUP(group_I_50_strukt_Veraend[[#This Row],[_parent_index]],Haupttabelle[[#All],[Index]:[Schwerpunkt]],5)</calculatedColumnFormula>
    </tableColumn>
    <tableColumn id="12" xr3:uid="{4AC3554B-1235-4EA4-A3CA-BD8F580BC665}" uniqueName="12" name="Projekt" queryTableFieldId="12" dataDxfId="17">
      <calculatedColumnFormula>VLOOKUP(group_I_50_strukt_Veraend[[#This Row],[_parent_index]],Haupttabelle[[#All],[Index]:[Schwerpunkt]],6)</calculatedColumnFormula>
    </tableColumn>
    <tableColumn id="11" xr3:uid="{DB6B0494-2352-470B-9752-52BEC6F75CAD}" uniqueName="11" name="Teilprojekt" queryTableFieldId="11" dataDxfId="16">
      <calculatedColumnFormula>VLOOKUP(group_I_50_strukt_Veraend[[#This Row],[_parent_index]],Haupttabelle[[#All],[Index]:[Schwerpunkt]],7)</calculatedColumnFormula>
    </tableColumn>
    <tableColumn id="10" xr3:uid="{3CA13A9B-5278-4214-9328-64465E242E45}" uniqueName="10" name="Schwerpunkt" queryTableFieldId="10" dataDxfId="15">
      <calculatedColumnFormula>VLOOKUP(group_I_50_strukt_Veraend[[#This Row],[_parent_index]],Haupttabelle[[#All],[Index]:[Schwerpunkt]],8)</calculatedColumnFormula>
    </tableColumn>
    <tableColumn id="1" xr3:uid="{FD140A37-414E-4B02-AC02-166CA4B27F34}" uniqueName="1" name="group_I_50_strukt_Veraend/I_50_Beschreibe_org_Veraender" queryTableFieldId="1" dataDxfId="14"/>
    <tableColumn id="2" xr3:uid="{4AF998EB-BE38-4956-AFC0-EF1557AD7DA2}" uniqueName="2" name="_id" queryTableFieldId="2"/>
    <tableColumn id="3" xr3:uid="{B2EF508E-E2D7-4E68-9BFF-1438F68D2D1E}" uniqueName="3" name="_uuid" queryTableFieldId="3"/>
    <tableColumn id="4" xr3:uid="{9174B668-2C04-43F5-9F10-A559D249BEB5}" uniqueName="4" name="_submission_time" queryTableFieldId="4"/>
    <tableColumn id="5" xr3:uid="{C4DB6F29-036C-40FA-BD3A-3A80E584BE74}" uniqueName="5" name="_index" queryTableFieldId="5"/>
    <tableColumn id="6" xr3:uid="{56C7CA27-C646-4EBD-B972-953A25EEFD70}" uniqueName="6" name="_parent_table_name" queryTableFieldId="6" dataDxfId="13"/>
    <tableColumn id="7" xr3:uid="{60A471BE-FC9E-4618-9DBD-89376458ECB7}" uniqueName="7" name="_parent_index" queryTableFieldId="7"/>
    <tableColumn id="8" xr3:uid="{233133DE-06B0-4AA9-AB9C-DA383E4CF7DB}" uniqueName="8" name="_tags" queryTableFieldId="8"/>
    <tableColumn id="9" xr3:uid="{5860CF16-89AE-4DF7-8B61-391ACA0A3CE6}" uniqueName="9" name="_notes" queryTableFieldId="9"/>
  </tableColumns>
  <tableStyleInfo name="TableStyleMedium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405ED7F-A429-4C87-8B6D-8C00A68753EB}" name="group_I_51_WB_Admin" displayName="group_I_51_WB_Admin" ref="A1:Q5" tableType="queryTable" totalsRowShown="0">
  <autoFilter ref="A1:Q5" xr:uid="{46F52416-A19E-4721-BB4D-4DD98C19E78B}"/>
  <tableColumns count="17">
    <tableColumn id="17" xr3:uid="{D8250F03-4E53-43C3-842E-6D7DBB55BCAA}" uniqueName="17" name="Name" queryTableFieldId="17" dataDxfId="12">
      <calculatedColumnFormula>VLOOKUP(group_I_51_WB_Admin[[#This Row],[_parent_index]],Haupttabelle[[#All],[Index]:[Schwerpunkt]],4)</calculatedColumnFormula>
    </tableColumn>
    <tableColumn id="16" xr3:uid="{8C7076AC-62F1-41EB-AFBC-C5307DE14A70}" uniqueName="16" name="Land" queryTableFieldId="16" dataDxfId="11">
      <calculatedColumnFormula>VLOOKUP(group_I_51_WB_Admin[[#This Row],[_parent_index]],Haupttabelle[[#All],[Index]:[Schwerpunkt]],5)</calculatedColumnFormula>
    </tableColumn>
    <tableColumn id="15" xr3:uid="{6139080B-B90C-4D0D-A999-E88F9DD99A66}" uniqueName="15" name="Projekt" queryTableFieldId="15" dataDxfId="10">
      <calculatedColumnFormula>VLOOKUP(group_I_51_WB_Admin[[#This Row],[_parent_index]],Haupttabelle[[#All],[Index]:[Schwerpunkt]],6)</calculatedColumnFormula>
    </tableColumn>
    <tableColumn id="14" xr3:uid="{E1F9DB24-F083-48DF-B261-DEC1758852A3}" uniqueName="14" name="Teilprojekt" queryTableFieldId="14" dataDxfId="9">
      <calculatedColumnFormula>VLOOKUP(group_I_51_WB_Admin[[#This Row],[_parent_index]],Haupttabelle[[#All],[Index]:[Schwerpunkt]],7)</calculatedColumnFormula>
    </tableColumn>
    <tableColumn id="13" xr3:uid="{F27EC7CB-454C-4C75-AF4F-A01D7777FFDD}" uniqueName="13" name="Schwerpunkt" queryTableFieldId="13" dataDxfId="8">
      <calculatedColumnFormula>VLOOKUP(group_I_51_WB_Admin[[#This Row],[_parent_index]],Haupttabelle[[#All],[Index]:[Schwerpunkt]],8)</calculatedColumnFormula>
    </tableColumn>
    <tableColumn id="1" xr3:uid="{D7F0FA41-EDDF-41DC-9FDC-27506DAB934B}" uniqueName="1" name="group_I_51_WB_Admin/I_51a_Beschreibe_WB_Admin_Pers" queryTableFieldId="1" dataDxfId="7"/>
    <tableColumn id="2" xr3:uid="{59293A28-90C1-4D73-8C87-A50EC532B637}" uniqueName="2" name="group_I_51_WB_Admin/Anzahl_Tage_WB_Coaching_I51" queryTableFieldId="2"/>
    <tableColumn id="3" xr3:uid="{653F46BB-3AAE-4C43-9937-D6340BF23A28}" uniqueName="3" name="group_I_51_WB_Admin/I_51b_Anzahl_beg_Maenner" queryTableFieldId="3"/>
    <tableColumn id="4" xr3:uid="{5197D0E2-C154-457E-B341-31F5C1F7786C}" uniqueName="4" name="group_I_51_WB_Admin/I_51b_Anzahl_beg_Frauen" queryTableFieldId="4"/>
    <tableColumn id="5" xr3:uid="{EED01FD7-C996-4D00-9653-2DC1064E76BC}" uniqueName="5" name="_id" queryTableFieldId="5"/>
    <tableColumn id="6" xr3:uid="{971F173B-45C8-4917-AFE8-9D6BF1F9DB6C}" uniqueName="6" name="_uuid" queryTableFieldId="6"/>
    <tableColumn id="7" xr3:uid="{ECF5ECFB-CF7E-41C8-BD6E-365CD1C5624A}" uniqueName="7" name="_submission_time" queryTableFieldId="7"/>
    <tableColumn id="8" xr3:uid="{60558F52-7055-4C11-9388-B85AF24D8DD0}" uniqueName="8" name="_index" queryTableFieldId="8"/>
    <tableColumn id="9" xr3:uid="{F0559829-340E-46A0-8D4F-8C7913389014}" uniqueName="9" name="_parent_table_name" queryTableFieldId="9" dataDxfId="6"/>
    <tableColumn id="10" xr3:uid="{8C1D16DE-E64F-4A52-863F-F91635197C62}" uniqueName="10" name="_parent_index" queryTableFieldId="10"/>
    <tableColumn id="11" xr3:uid="{68CD3015-07B3-4C59-BA51-F7AC45FFB863}" uniqueName="11" name="_tags" queryTableFieldId="11"/>
    <tableColumn id="12" xr3:uid="{3AFEA166-A532-48D5-B2AE-DB9E5BE0F14F}" uniqueName="12" name="_notes" queryTableFieldId="12"/>
  </tableColumns>
  <tableStyleInfo name="TableStyleMedium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9FC3965-435F-4448-B86C-7ABB2A8EB0E2}" name="group_I_52_WB_Fachpers" displayName="group_I_52_WB_Fachpers" ref="A1:Q4" tableType="queryTable" totalsRowShown="0">
  <autoFilter ref="A1:Q4" xr:uid="{132D429B-5972-4C37-96E8-CF6D8D02035E}"/>
  <tableColumns count="17">
    <tableColumn id="17" xr3:uid="{A95A44CA-1C45-4F0B-BCD4-0338A76BD7E1}" uniqueName="17" name="Name" queryTableFieldId="17" dataDxfId="71">
      <calculatedColumnFormula>VLOOKUP(group_I_52_WB_Fachpers[[#This Row],[_parent_index]],Haupttabelle[[#All],[Index]:[Schwerpunkt]],4)</calculatedColumnFormula>
    </tableColumn>
    <tableColumn id="16" xr3:uid="{73120BB7-BC1C-4A43-BFDC-76760EB27AD8}" uniqueName="16" name="Land" queryTableFieldId="16" dataDxfId="70">
      <calculatedColumnFormula>VLOOKUP(group_I_52_WB_Fachpers[[#This Row],[_parent_index]],Haupttabelle[[#All],[Index]:[Schwerpunkt]],5)</calculatedColumnFormula>
    </tableColumn>
    <tableColumn id="15" xr3:uid="{F565B82C-F56D-445A-B17B-53BB0FED9205}" uniqueName="15" name="Projekt" queryTableFieldId="15" dataDxfId="69">
      <calculatedColumnFormula>VLOOKUP(group_I_52_WB_Fachpers[[#This Row],[_parent_index]],Haupttabelle[[#All],[Index]:[Schwerpunkt]],6)</calculatedColumnFormula>
    </tableColumn>
    <tableColumn id="14" xr3:uid="{5A610A19-C3BB-4B84-90BF-8B0B8AEF0D10}" uniqueName="14" name="Teilprojekt" queryTableFieldId="14" dataDxfId="68">
      <calculatedColumnFormula>VLOOKUP(group_I_52_WB_Fachpers[[#This Row],[_parent_index]],Haupttabelle[[#All],[Index]:[Schwerpunkt]],7)</calculatedColumnFormula>
    </tableColumn>
    <tableColumn id="13" xr3:uid="{6150C204-3055-4698-AF28-9C804D891CAF}" uniqueName="13" name="Schwerpunkt" queryTableFieldId="13" dataDxfId="67">
      <calculatedColumnFormula>VLOOKUP(group_I_52_WB_Fachpers[[#This Row],[_parent_index]],Haupttabelle[[#All],[Index]:[Schwerpunkt]],8)</calculatedColumnFormula>
    </tableColumn>
    <tableColumn id="1" xr3:uid="{122D13B4-6F12-4775-B144-D3365A2ABA67}" uniqueName="1" name="group_I_52_WB_Fachpers/I_52a_Beschreibe_WB_Fachperson" queryTableFieldId="1" dataDxfId="66"/>
    <tableColumn id="2" xr3:uid="{43D6A41A-FF45-434D-A666-455382917C50}" uniqueName="2" name="group_I_52_WB_Fachpers/Anzahl_Tage_WB_Coaching_I52" queryTableFieldId="2"/>
    <tableColumn id="3" xr3:uid="{21506AAF-199F-4BC1-A928-1CB8829D540C}" uniqueName="3" name="group_I_52_WB_Fachpers/I_52b_Anzahl_beg_Maenner" queryTableFieldId="3"/>
    <tableColumn id="4" xr3:uid="{DEB672DE-6A6E-4B4C-962C-56CF15E7D948}" uniqueName="4" name="group_I_52_WB_Fachpers/I_52b_Anzahl_beg_Frauen" queryTableFieldId="4"/>
    <tableColumn id="5" xr3:uid="{96049166-52BB-46C5-9CE5-97EA49FE5698}" uniqueName="5" name="_id" queryTableFieldId="5"/>
    <tableColumn id="6" xr3:uid="{896FB8BC-DCBA-45EE-BCDC-03FBFB96B52D}" uniqueName="6" name="_uuid" queryTableFieldId="6"/>
    <tableColumn id="7" xr3:uid="{C7448165-5706-4484-A649-AEFBF07A182E}" uniqueName="7" name="_submission_time" queryTableFieldId="7"/>
    <tableColumn id="8" xr3:uid="{4FCB58F5-BEC2-4D2B-A176-D17726FF58AD}" uniqueName="8" name="_index" queryTableFieldId="8"/>
    <tableColumn id="9" xr3:uid="{B840E9B1-763A-4F6B-95F7-BF52DFF3384F}" uniqueName="9" name="_parent_table_name" queryTableFieldId="9" dataDxfId="65"/>
    <tableColumn id="10" xr3:uid="{5814E0C2-8D57-492D-B32B-6790C281C008}" uniqueName="10" name="_parent_index" queryTableFieldId="10"/>
    <tableColumn id="11" xr3:uid="{FF29E064-F566-4D9A-9D0F-97F0B4D84C41}" uniqueName="11" name="_tags" queryTableFieldId="11"/>
    <tableColumn id="12" xr3:uid="{E50C0E79-4C51-47FF-88F1-4B352802741C}" uniqueName="12" name="_notes" queryTableFieldId="12"/>
  </tableColumns>
  <tableStyleInfo name="TableStyleMedium7"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518CA3A-FD2D-451B-AD44-0AB6F6AE5D1B}" name="group_I_53_Infrastruktur" displayName="group_I_53_Infrastruktur" ref="A1:O5" tableType="queryTable" totalsRowShown="0">
  <autoFilter ref="A1:O5" xr:uid="{21AFC2DB-022E-4BE3-BE6C-1737723BC17E}"/>
  <tableColumns count="15">
    <tableColumn id="15" xr3:uid="{1BFA9C08-F626-422D-AD3A-9E00911F030F}" uniqueName="15" name="Name" queryTableFieldId="15" dataDxfId="64">
      <calculatedColumnFormula>VLOOKUP(group_I_53_Infrastruktur[[#This Row],[_parent_index]],Haupttabelle[[#All],[Index]:[Schwerpunkt]],4)</calculatedColumnFormula>
    </tableColumn>
    <tableColumn id="14" xr3:uid="{74EEF54B-C9F9-4BA9-8066-DC8DC67670FF}" uniqueName="14" name="Land" queryTableFieldId="14" dataDxfId="63">
      <calculatedColumnFormula>VLOOKUP(group_I_53_Infrastruktur[[#This Row],[_parent_index]],Haupttabelle[[#All],[Index]:[Schwerpunkt]],5)</calculatedColumnFormula>
    </tableColumn>
    <tableColumn id="13" xr3:uid="{1953C110-1720-4736-966E-D703F74A6A3C}" uniqueName="13" name="Projekt" queryTableFieldId="13" dataDxfId="62">
      <calculatedColumnFormula>VLOOKUP(group_I_53_Infrastruktur[[#This Row],[_parent_index]],Haupttabelle[[#All],[Index]:[Schwerpunkt]],6)</calculatedColumnFormula>
    </tableColumn>
    <tableColumn id="12" xr3:uid="{E0BF382B-DC5F-4AED-9CD6-9AD44FF96857}" uniqueName="12" name="Teilprojekt" queryTableFieldId="12" dataDxfId="61">
      <calculatedColumnFormula>VLOOKUP(group_I_53_Infrastruktur[[#This Row],[_parent_index]],Haupttabelle[[#All],[Index]:[Schwerpunkt]],7)</calculatedColumnFormula>
    </tableColumn>
    <tableColumn id="11" xr3:uid="{73FEA20F-D18F-421E-A674-CB6DA9114113}" uniqueName="11" name="Schwerpunkt" queryTableFieldId="11" dataDxfId="60">
      <calculatedColumnFormula>VLOOKUP(group_I_53_Infrastruktur[[#This Row],[_parent_index]],Haupttabelle[[#All],[Index]:[Schwerpunkt]],8)</calculatedColumnFormula>
    </tableColumn>
    <tableColumn id="1" xr3:uid="{D63528F9-7E38-4CC9-81DB-93080D76BF79}" uniqueName="1" name="group_I_53_Infrastruktur/Beschreibe_die_Investition" queryTableFieldId="1" dataDxfId="59"/>
    <tableColumn id="2" xr3:uid="{3799B8A8-A1F9-4EA0-BB39-2B944E6BEF67}" uniqueName="2" name="group_I_53_Infrastruktur/Investition_in_CHF" queryTableFieldId="2"/>
    <tableColumn id="3" xr3:uid="{01E99DDE-2241-4601-BBE8-A3348369C5A4}" uniqueName="3" name="_id" queryTableFieldId="3"/>
    <tableColumn id="4" xr3:uid="{A690749D-ADDA-410F-82CD-C4B96FCC3D48}" uniqueName="4" name="_uuid" queryTableFieldId="4"/>
    <tableColumn id="5" xr3:uid="{1C5D1D08-36D3-4908-A440-57C7941FDD32}" uniqueName="5" name="_submission_time" queryTableFieldId="5"/>
    <tableColumn id="6" xr3:uid="{5883DE28-F487-4EC6-BE11-351D5707D44D}" uniqueName="6" name="_index" queryTableFieldId="6"/>
    <tableColumn id="7" xr3:uid="{52B867B6-ECD5-4AD6-8170-92AE3133E168}" uniqueName="7" name="_parent_table_name" queryTableFieldId="7" dataDxfId="58"/>
    <tableColumn id="8" xr3:uid="{A301261F-2538-4963-8F43-9DCB4FE51167}" uniqueName="8" name="_parent_index" queryTableFieldId="8"/>
    <tableColumn id="9" xr3:uid="{39A30FF9-C636-4144-B717-6EEA6F914C97}" uniqueName="9" name="_tags" queryTableFieldId="9"/>
    <tableColumn id="10" xr3:uid="{3C683542-565F-4C50-AD88-A1C3F7A3672B}" uniqueName="10" name="_notes" queryTableFieldId="10"/>
  </tableColumns>
  <tableStyleInfo name="TableStyleMedium7"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7D752218-E0C2-4E73-8F20-98904B072CA0}" name="group_I_54_Hilfsmittel" displayName="group_I_54_Hilfsmittel" ref="A1:N5" tableType="queryTable" totalsRowShown="0">
  <autoFilter ref="A1:N5" xr:uid="{B5F951D3-1C04-4466-8BA4-DC8238625727}"/>
  <tableColumns count="14">
    <tableColumn id="14" xr3:uid="{954963FD-07EE-4614-815C-43A6BBD265D8}" uniqueName="14" name="Name" queryTableFieldId="14" dataDxfId="108">
      <calculatedColumnFormula>VLOOKUP(group_I_54_Hilfsmittel[[#This Row],[_parent_index]],Haupttabelle[[#All],[Index]:[Schwerpunkt]],4)</calculatedColumnFormula>
    </tableColumn>
    <tableColumn id="13" xr3:uid="{C9B4CACB-CD0D-4DAA-8953-AE21E572B128}" uniqueName="13" name="Land" queryTableFieldId="13" dataDxfId="107">
      <calculatedColumnFormula>VLOOKUP(group_I_54_Hilfsmittel[[#This Row],[_parent_index]],Haupttabelle[[#All],[Index]:[Schwerpunkt]],5)</calculatedColumnFormula>
    </tableColumn>
    <tableColumn id="12" xr3:uid="{B783D39C-19FD-4641-B403-E5A15BC5C432}" uniqueName="12" name="Projekt" queryTableFieldId="12" dataDxfId="106">
      <calculatedColumnFormula>VLOOKUP(group_I_54_Hilfsmittel[[#This Row],[_parent_index]],Haupttabelle[[#All],[Index]:[Schwerpunkt]],6)</calculatedColumnFormula>
    </tableColumn>
    <tableColumn id="11" xr3:uid="{1E3A7F78-B05E-4DE2-B71C-CE23ADE4C08B}" uniqueName="11" name="Teilprojekt" queryTableFieldId="11" dataDxfId="105">
      <calculatedColumnFormula>VLOOKUP(group_I_54_Hilfsmittel[[#This Row],[_parent_index]],Haupttabelle[[#All],[Index]:[Schwerpunkt]],7)</calculatedColumnFormula>
    </tableColumn>
    <tableColumn id="10" xr3:uid="{E3811FB6-38D2-4580-B25A-DEEF05E4C75A}" uniqueName="10" name="Schwerpunkt" queryTableFieldId="10" dataDxfId="104">
      <calculatedColumnFormula>VLOOKUP(group_I_54_Hilfsmittel[[#This Row],[_parent_index]],Haupttabelle[[#All],[Index]:[Schwerpunkt]],8)</calculatedColumnFormula>
    </tableColumn>
    <tableColumn id="1" xr3:uid="{2F4B5746-B529-4C92-A9B4-D85CE0BA3587}" uniqueName="1" name="group_I_54_Hilfsmittel/I_54_Art_der_Methoden_Hilfsmit" queryTableFieldId="1" dataDxfId="57"/>
    <tableColumn id="2" xr3:uid="{899D80FD-59F4-4AB7-92C0-3DB5BD3705E3}" uniqueName="2" name="_id" queryTableFieldId="2"/>
    <tableColumn id="3" xr3:uid="{6CC51890-F12F-4017-952A-F7770094B0E9}" uniqueName="3" name="_uuid" queryTableFieldId="3"/>
    <tableColumn id="4" xr3:uid="{F6A469D6-79D7-4FF9-9954-BEC505A153A3}" uniqueName="4" name="_submission_time" queryTableFieldId="4"/>
    <tableColumn id="5" xr3:uid="{215E7CA8-B8F8-49F3-AFF6-0CCAA814AFF1}" uniqueName="5" name="_index" queryTableFieldId="5"/>
    <tableColumn id="6" xr3:uid="{F2A5F77F-BE24-4397-AE79-B0DA65449B6F}" uniqueName="6" name="_parent_table_name" queryTableFieldId="6" dataDxfId="56"/>
    <tableColumn id="7" xr3:uid="{4CEA2826-079E-4548-BA85-28D229DB824D}" uniqueName="7" name="_parent_index" queryTableFieldId="7"/>
    <tableColumn id="8" xr3:uid="{D4C62F92-C643-4C1E-B07A-FB2946BE904D}" uniqueName="8" name="_tags" queryTableFieldId="8"/>
    <tableColumn id="9" xr3:uid="{EB27F4BB-AF30-49A0-B285-29FB4C16E31D}" uniqueName="9" name="_notes" queryTableFieldId="9"/>
  </tableColumns>
  <tableStyleInfo name="TableStyleMedium7"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microsoft.com/office/2007/relationships/slicer" Target="../slicers/slicer1.xml"/></Relationships>
</file>

<file path=xl/worksheets/_rels/sheet10.xml.rels><?xml version="1.0" encoding="UTF-8" standalone="yes"?>
<Relationships xmlns="http://schemas.openxmlformats.org/package/2006/relationships"><Relationship Id="rId1" Type="http://schemas.openxmlformats.org/officeDocument/2006/relationships/table" Target="../tables/table5.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6.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6.xml.rels><?xml version="1.0" encoding="UTF-8" standalone="yes"?>
<Relationships xmlns="http://schemas.openxmlformats.org/package/2006/relationships"><Relationship Id="rId1" Type="http://schemas.openxmlformats.org/officeDocument/2006/relationships/hyperlink" Target="https://kc.humanitarianresponse.info/api/v1/data/785755.xls" TargetMode="External"/></Relationships>
</file>

<file path=xl/worksheets/_rels/sheet17.xml.rels><?xml version="1.0" encoding="UTF-8" standalone="yes"?>
<Relationships xmlns="http://schemas.openxmlformats.org/package/2006/relationships"><Relationship Id="rId3" Type="http://schemas.openxmlformats.org/officeDocument/2006/relationships/pivotTable" Target="../pivotTables/pivotTable4.xml"/><Relationship Id="rId2" Type="http://schemas.openxmlformats.org/officeDocument/2006/relationships/pivotTable" Target="../pivotTables/pivotTable3.xml"/><Relationship Id="rId1" Type="http://schemas.openxmlformats.org/officeDocument/2006/relationships/pivotTable" Target="../pivotTables/pivotTable2.xml"/><Relationship Id="rId4" Type="http://schemas.openxmlformats.org/officeDocument/2006/relationships/pivotTable" Target="../pivotTables/pivotTable5.xml"/></Relationships>
</file>

<file path=xl/worksheets/_rels/sheet2.xml.rels><?xml version="1.0" encoding="UTF-8" standalone="yes"?>
<Relationships xmlns="http://schemas.openxmlformats.org/package/2006/relationships"><Relationship Id="rId2" Type="http://schemas.microsoft.com/office/2007/relationships/slicer" Target="../slicers/slicer2.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microsoft.com/office/2007/relationships/slicer" Target="../slicers/slicer3.xml"/><Relationship Id="rId2" Type="http://schemas.openxmlformats.org/officeDocument/2006/relationships/vmlDrawing" Target="../drawings/vmlDrawing2.vml"/><Relationship Id="rId1" Type="http://schemas.openxmlformats.org/officeDocument/2006/relationships/drawing" Target="../drawings/drawing3.xm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2.bin"/><Relationship Id="rId5" Type="http://schemas.openxmlformats.org/officeDocument/2006/relationships/comments" Target="../comments3.xml"/><Relationship Id="rId4" Type="http://schemas.microsoft.com/office/2007/relationships/slicer" Target="../slicers/slicer4.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_rels/sheet7.xml.rels><?xml version="1.0" encoding="UTF-8" standalone="yes"?>
<Relationships xmlns="http://schemas.openxmlformats.org/package/2006/relationships"><Relationship Id="rId1" Type="http://schemas.openxmlformats.org/officeDocument/2006/relationships/table" Target="../tables/table2.xml"/></Relationships>
</file>

<file path=xl/worksheets/_rels/sheet8.xml.rels><?xml version="1.0" encoding="UTF-8" standalone="yes"?>
<Relationships xmlns="http://schemas.openxmlformats.org/package/2006/relationships"><Relationship Id="rId1" Type="http://schemas.openxmlformats.org/officeDocument/2006/relationships/table" Target="../tables/table3.xml"/></Relationships>
</file>

<file path=xl/worksheets/_rels/sheet9.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DF7E17-ECB1-4817-9FF2-B8723C2DDFB1}">
  <sheetPr>
    <tabColor rgb="FF0070C0"/>
  </sheetPr>
  <dimension ref="A1:AJ38"/>
  <sheetViews>
    <sheetView tabSelected="1" topLeftCell="A19" zoomScaleNormal="100" workbookViewId="0">
      <selection activeCell="N26" sqref="N26"/>
    </sheetView>
  </sheetViews>
  <sheetFormatPr baseColWidth="10" defaultColWidth="11.42578125" defaultRowHeight="15.75" outlineLevelCol="2"/>
  <cols>
    <col min="1" max="1" width="19.5703125" style="8" customWidth="1"/>
    <col min="2" max="2" width="11.140625" style="4" customWidth="1"/>
    <col min="3" max="3" width="31" style="4" customWidth="1"/>
    <col min="4" max="4" width="9.140625" style="5" customWidth="1"/>
    <col min="5" max="5" width="31" style="4" customWidth="1"/>
    <col min="6" max="6" width="18.140625" style="4" hidden="1" customWidth="1" outlineLevel="2"/>
    <col min="7" max="7" width="62.140625" style="4" hidden="1" customWidth="1" outlineLevel="2"/>
    <col min="8" max="8" width="11.42578125" style="4" customWidth="1" outlineLevel="1" collapsed="1"/>
    <col min="9" max="9" width="31.85546875" style="4" customWidth="1" outlineLevel="1"/>
    <col min="10" max="11" width="5.7109375" style="4" customWidth="1"/>
    <col min="12" max="13" width="11.42578125" style="4" hidden="1" customWidth="1" outlineLevel="1"/>
    <col min="14" max="15" width="32" style="4" hidden="1" customWidth="1" outlineLevel="1"/>
    <col min="16" max="16" width="5.7109375" style="4" customWidth="1" collapsed="1"/>
    <col min="17" max="17" width="5.7109375" style="4" customWidth="1"/>
    <col min="18" max="19" width="5.7109375" style="4" hidden="1" customWidth="1" outlineLevel="1"/>
    <col min="20" max="20" width="22.7109375" style="4" hidden="1" customWidth="1" outlineLevel="1"/>
    <col min="21" max="21" width="25.42578125" style="4" hidden="1" customWidth="1" outlineLevel="1"/>
    <col min="22" max="22" width="5.7109375" style="4" customWidth="1" collapsed="1"/>
    <col min="23" max="23" width="5.7109375" style="4" customWidth="1"/>
    <col min="24" max="25" width="5.7109375" style="4" hidden="1" customWidth="1" outlineLevel="1"/>
    <col min="26" max="26" width="22.7109375" style="4" hidden="1" customWidth="1" outlineLevel="1"/>
    <col min="27" max="27" width="25.42578125" style="4" hidden="1" customWidth="1" outlineLevel="1"/>
    <col min="28" max="28" width="5.7109375" style="4" customWidth="1" collapsed="1"/>
    <col min="29" max="29" width="5.7109375" style="4" customWidth="1"/>
    <col min="30" max="31" width="5.7109375" style="4" hidden="1" customWidth="1" outlineLevel="1"/>
    <col min="32" max="32" width="22.7109375" style="4" hidden="1" customWidth="1" outlineLevel="1"/>
    <col min="33" max="33" width="25.42578125" style="4" hidden="1" customWidth="1" outlineLevel="1"/>
    <col min="34" max="34" width="11.42578125" style="4" collapsed="1"/>
    <col min="35" max="16384" width="11.42578125" style="4"/>
  </cols>
  <sheetData>
    <row r="1" spans="1:33" ht="19.5" thickBot="1">
      <c r="A1" s="3" t="s">
        <v>371</v>
      </c>
    </row>
    <row r="2" spans="1:33" ht="16.5" thickBot="1">
      <c r="A2" s="6" t="str">
        <f>Haupttabelle[[#Headers],[Land]]</f>
        <v>Land</v>
      </c>
      <c r="B2" s="6" t="str">
        <f>Haupttabelle[[#Headers],[Projekt]]</f>
        <v>Projekt</v>
      </c>
      <c r="C2" s="6" t="str">
        <f>Haupttabelle[[#Headers],[Teilprojekt]]</f>
        <v>Teilprojekt</v>
      </c>
      <c r="D2" s="6" t="str">
        <f>Haupttabelle[[#Headers],[Name]]</f>
        <v>Name</v>
      </c>
      <c r="E2" s="6" t="str">
        <f>Haupttabelle[[#Headers],[Schwerpunkt]]</f>
        <v>Schwerpunkt</v>
      </c>
    </row>
    <row r="3" spans="1:33" ht="54" customHeight="1" thickBot="1">
      <c r="A3" s="7" t="str">
        <f>IF(Pivot!B3="(Alle)","",Pivot!B3)</f>
        <v/>
      </c>
      <c r="B3" s="7" t="str">
        <f>IF(Pivot!B4="(Alle)","",Pivot!B4)</f>
        <v/>
      </c>
      <c r="C3" s="7" t="str">
        <f>IF(Pivot!B5="(Alle)","",Pivot!B5)</f>
        <v/>
      </c>
      <c r="D3" s="48" t="str">
        <f>IF(Pivot!B2="(Alle)","",Pivot!B2)</f>
        <v/>
      </c>
      <c r="E3" s="7" t="s">
        <v>237</v>
      </c>
    </row>
    <row r="4" spans="1:33" ht="39" customHeight="1" thickBot="1"/>
    <row r="5" spans="1:33" ht="16.5" thickBot="1">
      <c r="J5" s="192" t="s">
        <v>179</v>
      </c>
      <c r="K5" s="193"/>
      <c r="L5" s="165" t="s">
        <v>180</v>
      </c>
      <c r="M5" s="166"/>
      <c r="N5" s="166"/>
      <c r="O5" s="167"/>
      <c r="P5" s="192" t="s">
        <v>179</v>
      </c>
      <c r="Q5" s="193"/>
      <c r="R5" s="165" t="s">
        <v>181</v>
      </c>
      <c r="S5" s="166"/>
      <c r="T5" s="166"/>
      <c r="U5" s="167"/>
      <c r="V5" s="192" t="s">
        <v>179</v>
      </c>
      <c r="W5" s="193"/>
      <c r="X5" s="165" t="s">
        <v>182</v>
      </c>
      <c r="Y5" s="166"/>
      <c r="Z5" s="166"/>
      <c r="AA5" s="167"/>
      <c r="AB5" s="192" t="s">
        <v>179</v>
      </c>
      <c r="AC5" s="193"/>
      <c r="AD5" s="165" t="s">
        <v>187</v>
      </c>
      <c r="AE5" s="166"/>
      <c r="AF5" s="166"/>
      <c r="AG5" s="167"/>
    </row>
    <row r="6" spans="1:33" ht="48" customHeight="1" thickBot="1">
      <c r="A6" s="9"/>
      <c r="B6" s="10" t="s">
        <v>372</v>
      </c>
      <c r="C6" s="10" t="s">
        <v>373</v>
      </c>
      <c r="D6" s="11" t="s">
        <v>374</v>
      </c>
      <c r="E6" s="10" t="s">
        <v>375</v>
      </c>
      <c r="F6" s="10"/>
      <c r="G6" s="10"/>
      <c r="H6" s="10" t="s">
        <v>376</v>
      </c>
      <c r="I6" s="11" t="s">
        <v>377</v>
      </c>
      <c r="J6" s="192" t="s">
        <v>378</v>
      </c>
      <c r="K6" s="193"/>
      <c r="L6" s="168" t="s">
        <v>379</v>
      </c>
      <c r="M6" s="169"/>
      <c r="N6" s="12" t="s">
        <v>380</v>
      </c>
      <c r="O6" s="13" t="s">
        <v>381</v>
      </c>
      <c r="P6" s="192" t="s">
        <v>382</v>
      </c>
      <c r="Q6" s="193"/>
      <c r="R6" s="168" t="s">
        <v>383</v>
      </c>
      <c r="S6" s="169"/>
      <c r="T6" s="12" t="s">
        <v>380</v>
      </c>
      <c r="U6" s="13" t="s">
        <v>381</v>
      </c>
      <c r="V6" s="192" t="s">
        <v>384</v>
      </c>
      <c r="W6" s="193"/>
      <c r="X6" s="168" t="s">
        <v>385</v>
      </c>
      <c r="Y6" s="169"/>
      <c r="Z6" s="12" t="s">
        <v>380</v>
      </c>
      <c r="AA6" s="13" t="s">
        <v>381</v>
      </c>
      <c r="AB6" s="192" t="s">
        <v>386</v>
      </c>
      <c r="AC6" s="193"/>
      <c r="AD6" s="168" t="s">
        <v>387</v>
      </c>
      <c r="AE6" s="169"/>
      <c r="AF6" s="12" t="s">
        <v>380</v>
      </c>
      <c r="AG6" s="13" t="s">
        <v>381</v>
      </c>
    </row>
    <row r="7" spans="1:33" ht="16.5" thickBot="1">
      <c r="A7" s="14"/>
      <c r="B7" s="15" t="s">
        <v>183</v>
      </c>
      <c r="C7" s="139"/>
      <c r="D7" s="17" t="s">
        <v>184</v>
      </c>
      <c r="E7" s="139"/>
      <c r="F7" s="145"/>
      <c r="G7" s="145"/>
      <c r="H7" s="139"/>
      <c r="I7" s="139"/>
      <c r="J7" s="172"/>
      <c r="K7" s="173"/>
      <c r="L7" s="178"/>
      <c r="M7" s="179"/>
      <c r="N7" s="141"/>
      <c r="O7" s="142"/>
      <c r="P7" s="172"/>
      <c r="Q7" s="173"/>
      <c r="R7" s="178"/>
      <c r="S7" s="179"/>
      <c r="T7" s="141"/>
      <c r="U7" s="142"/>
      <c r="V7" s="172"/>
      <c r="W7" s="173"/>
      <c r="X7" s="178"/>
      <c r="Y7" s="179"/>
      <c r="Z7" s="141"/>
      <c r="AA7" s="142"/>
      <c r="AB7" s="172"/>
      <c r="AC7" s="173"/>
      <c r="AD7" s="176"/>
      <c r="AE7" s="177"/>
      <c r="AF7" s="125"/>
      <c r="AG7" s="126"/>
    </row>
    <row r="8" spans="1:33" ht="16.5" thickBot="1">
      <c r="A8" s="14"/>
      <c r="B8" s="15" t="s">
        <v>185</v>
      </c>
      <c r="C8" s="139"/>
      <c r="D8" s="17" t="s">
        <v>186</v>
      </c>
      <c r="E8" s="139"/>
      <c r="F8" s="145"/>
      <c r="G8" s="145"/>
      <c r="H8" s="139"/>
      <c r="I8" s="139"/>
      <c r="J8" s="172"/>
      <c r="K8" s="173"/>
      <c r="L8" s="178"/>
      <c r="M8" s="179"/>
      <c r="N8" s="141"/>
      <c r="O8" s="142"/>
      <c r="P8" s="172"/>
      <c r="Q8" s="173"/>
      <c r="R8" s="178"/>
      <c r="S8" s="179"/>
      <c r="T8" s="141"/>
      <c r="U8" s="142"/>
      <c r="V8" s="172"/>
      <c r="W8" s="173"/>
      <c r="X8" s="178"/>
      <c r="Y8" s="179"/>
      <c r="Z8" s="141"/>
      <c r="AA8" s="142"/>
      <c r="AB8" s="172"/>
      <c r="AC8" s="173"/>
      <c r="AD8" s="176"/>
      <c r="AE8" s="177"/>
      <c r="AF8" s="125"/>
      <c r="AG8" s="126"/>
    </row>
    <row r="9" spans="1:33" ht="16.5" thickBot="1">
      <c r="J9" s="192" t="s">
        <v>179</v>
      </c>
      <c r="K9" s="193"/>
      <c r="L9" s="165" t="s">
        <v>180</v>
      </c>
      <c r="M9" s="166"/>
      <c r="N9" s="166"/>
      <c r="O9" s="167"/>
      <c r="P9" s="192" t="s">
        <v>179</v>
      </c>
      <c r="Q9" s="193"/>
      <c r="R9" s="165" t="s">
        <v>181</v>
      </c>
      <c r="S9" s="166"/>
      <c r="T9" s="166"/>
      <c r="U9" s="167"/>
      <c r="V9" s="192" t="s">
        <v>179</v>
      </c>
      <c r="W9" s="193"/>
      <c r="X9" s="165" t="s">
        <v>182</v>
      </c>
      <c r="Y9" s="166"/>
      <c r="Z9" s="166"/>
      <c r="AA9" s="167"/>
      <c r="AB9" s="192" t="s">
        <v>179</v>
      </c>
      <c r="AC9" s="193"/>
      <c r="AD9" s="165" t="s">
        <v>187</v>
      </c>
      <c r="AE9" s="166"/>
      <c r="AF9" s="166"/>
      <c r="AG9" s="167"/>
    </row>
    <row r="10" spans="1:33" ht="79.5" thickBot="1">
      <c r="A10" s="9" t="s">
        <v>388</v>
      </c>
      <c r="B10" s="10" t="s">
        <v>389</v>
      </c>
      <c r="C10" s="10" t="s">
        <v>390</v>
      </c>
      <c r="D10" s="11" t="s">
        <v>391</v>
      </c>
      <c r="E10" s="10" t="s">
        <v>375</v>
      </c>
      <c r="F10" s="10" t="s">
        <v>438</v>
      </c>
      <c r="G10" s="10" t="s">
        <v>439</v>
      </c>
      <c r="H10" s="10" t="s">
        <v>376</v>
      </c>
      <c r="I10" s="11" t="s">
        <v>377</v>
      </c>
      <c r="J10" s="192" t="s">
        <v>378</v>
      </c>
      <c r="K10" s="193"/>
      <c r="L10" s="168" t="s">
        <v>379</v>
      </c>
      <c r="M10" s="169"/>
      <c r="N10" s="12" t="s">
        <v>380</v>
      </c>
      <c r="O10" s="13" t="s">
        <v>381</v>
      </c>
      <c r="P10" s="192" t="s">
        <v>382</v>
      </c>
      <c r="Q10" s="193"/>
      <c r="R10" s="168" t="s">
        <v>383</v>
      </c>
      <c r="S10" s="169"/>
      <c r="T10" s="12" t="s">
        <v>380</v>
      </c>
      <c r="U10" s="13" t="s">
        <v>381</v>
      </c>
      <c r="V10" s="192" t="s">
        <v>384</v>
      </c>
      <c r="W10" s="193"/>
      <c r="X10" s="168" t="s">
        <v>385</v>
      </c>
      <c r="Y10" s="169"/>
      <c r="Z10" s="12" t="s">
        <v>380</v>
      </c>
      <c r="AA10" s="13" t="s">
        <v>381</v>
      </c>
      <c r="AB10" s="192" t="s">
        <v>386</v>
      </c>
      <c r="AC10" s="193"/>
      <c r="AD10" s="168" t="s">
        <v>387</v>
      </c>
      <c r="AE10" s="169"/>
      <c r="AF10" s="12" t="s">
        <v>380</v>
      </c>
      <c r="AG10" s="13" t="s">
        <v>381</v>
      </c>
    </row>
    <row r="11" spans="1:33" ht="60.75" thickBot="1">
      <c r="A11" s="200" t="s">
        <v>392</v>
      </c>
      <c r="B11" s="190" t="s">
        <v>188</v>
      </c>
      <c r="C11" s="201" t="s">
        <v>393</v>
      </c>
      <c r="D11" s="18" t="s">
        <v>189</v>
      </c>
      <c r="E11" s="19" t="s">
        <v>394</v>
      </c>
      <c r="F11" s="20">
        <v>0.1</v>
      </c>
      <c r="G11" s="21" t="s">
        <v>440</v>
      </c>
      <c r="H11" s="139"/>
      <c r="I11" s="139"/>
      <c r="J11" s="172"/>
      <c r="K11" s="173"/>
      <c r="L11" s="202">
        <f>DSUM(Haupttabelle[#All],Main!Z1,A2:E3)/DCOUNT(Haupttabelle[#All],Main!Z1,A2:E3)/100</f>
        <v>0.12</v>
      </c>
      <c r="M11" s="203"/>
      <c r="N11" s="147" t="str">
        <f>CONCATENATE("Moyenne de ",DCOUNT(Haupttabelle[#All],Main!Z1,A2:E3)," valeur(s)")</f>
        <v>Moyenne de 1 valeur(s)</v>
      </c>
      <c r="O11" s="148"/>
      <c r="P11" s="172"/>
      <c r="Q11" s="173"/>
      <c r="R11" s="178"/>
      <c r="S11" s="179"/>
      <c r="T11" s="141"/>
      <c r="U11" s="142"/>
      <c r="V11" s="172"/>
      <c r="W11" s="173"/>
      <c r="X11" s="178"/>
      <c r="Y11" s="179"/>
      <c r="Z11" s="141"/>
      <c r="AA11" s="142"/>
      <c r="AB11" s="172"/>
      <c r="AC11" s="173"/>
      <c r="AD11" s="176"/>
      <c r="AE11" s="177"/>
      <c r="AF11" s="125"/>
      <c r="AG11" s="126"/>
    </row>
    <row r="12" spans="1:33" ht="45.75" thickBot="1">
      <c r="A12" s="200"/>
      <c r="B12" s="190"/>
      <c r="C12" s="201"/>
      <c r="D12" s="18" t="s">
        <v>192</v>
      </c>
      <c r="E12" s="19" t="s">
        <v>395</v>
      </c>
      <c r="F12" s="22" t="s">
        <v>441</v>
      </c>
      <c r="G12" s="19" t="s">
        <v>442</v>
      </c>
      <c r="H12" s="139"/>
      <c r="I12" s="139"/>
      <c r="J12" s="172"/>
      <c r="K12" s="173"/>
      <c r="L12" s="186">
        <f>GETPIVOTDATA("group_I_10b_Personelle_Abhaeng/Verantwortung_uebernommen",Pivot!$A$7,"Schwerpunkt","Grund_und_Berufsbildung")</f>
        <v>2</v>
      </c>
      <c r="M12" s="187"/>
      <c r="N12" s="147" t="s">
        <v>541</v>
      </c>
      <c r="O12" s="148"/>
      <c r="P12" s="172"/>
      <c r="Q12" s="173"/>
      <c r="R12" s="178"/>
      <c r="S12" s="179"/>
      <c r="T12" s="141"/>
      <c r="U12" s="142"/>
      <c r="V12" s="172"/>
      <c r="W12" s="173"/>
      <c r="X12" s="178"/>
      <c r="Y12" s="179"/>
      <c r="Z12" s="141"/>
      <c r="AA12" s="142"/>
      <c r="AB12" s="172"/>
      <c r="AC12" s="173"/>
      <c r="AD12" s="176"/>
      <c r="AE12" s="177"/>
      <c r="AF12" s="125"/>
      <c r="AG12" s="126"/>
    </row>
    <row r="13" spans="1:33" ht="45.75" customHeight="1" thickBot="1">
      <c r="A13" s="200"/>
      <c r="B13" s="190"/>
      <c r="C13" s="201"/>
      <c r="D13" s="18" t="s">
        <v>193</v>
      </c>
      <c r="E13" s="19" t="s">
        <v>396</v>
      </c>
      <c r="F13" s="22">
        <v>2</v>
      </c>
      <c r="G13" s="19" t="s">
        <v>443</v>
      </c>
      <c r="H13" s="139"/>
      <c r="I13" s="139"/>
      <c r="J13" s="172"/>
      <c r="K13" s="173"/>
      <c r="L13" s="186">
        <f>DCOUNTA(group_I_10c_Neue_Angebote[#All],I_10c!F1,A2:E3)</f>
        <v>0</v>
      </c>
      <c r="M13" s="187"/>
      <c r="N13" s="147"/>
      <c r="O13" s="148"/>
      <c r="P13" s="172"/>
      <c r="Q13" s="173"/>
      <c r="R13" s="178"/>
      <c r="S13" s="179"/>
      <c r="T13" s="141"/>
      <c r="U13" s="142"/>
      <c r="V13" s="172"/>
      <c r="W13" s="173"/>
      <c r="X13" s="178"/>
      <c r="Y13" s="179"/>
      <c r="Z13" s="141"/>
      <c r="AA13" s="142"/>
      <c r="AB13" s="172"/>
      <c r="AC13" s="173"/>
      <c r="AD13" s="176"/>
      <c r="AE13" s="177"/>
      <c r="AF13" s="125"/>
      <c r="AG13" s="126"/>
    </row>
    <row r="14" spans="1:33" ht="105.75" thickBot="1">
      <c r="A14" s="180" t="s">
        <v>397</v>
      </c>
      <c r="B14" s="23" t="s">
        <v>194</v>
      </c>
      <c r="C14" s="23" t="s">
        <v>398</v>
      </c>
      <c r="D14" s="24" t="s">
        <v>195</v>
      </c>
      <c r="E14" s="23" t="s">
        <v>399</v>
      </c>
      <c r="F14" s="27">
        <v>2</v>
      </c>
      <c r="G14" s="23" t="s">
        <v>444</v>
      </c>
      <c r="H14" s="139"/>
      <c r="I14" s="146"/>
      <c r="J14" s="172"/>
      <c r="K14" s="173"/>
      <c r="L14" s="25">
        <f>GETPIVOTDATA("Summe von group_I_20_Verantw_uebernommen/Anzahl_Jungen_Maenner_I20",Pivot!$F$7,"Schwerpunkt","Grund_und_Berufsbildung")</f>
        <v>3</v>
      </c>
      <c r="M14" s="26">
        <f>GETPIVOTDATA("Summe von group_I_20_Verantw_uebernommen/Anzahl_Maedchen_Frauen_I20",Pivot!$F$7,"Schwerpunkt","Grund_und_Berufsbildung")</f>
        <v>3</v>
      </c>
      <c r="N14" s="147"/>
      <c r="O14" s="148"/>
      <c r="P14" s="172"/>
      <c r="Q14" s="173"/>
      <c r="R14" s="178"/>
      <c r="S14" s="179"/>
      <c r="T14" s="141"/>
      <c r="U14" s="142"/>
      <c r="V14" s="172"/>
      <c r="W14" s="173"/>
      <c r="X14" s="178"/>
      <c r="Y14" s="179"/>
      <c r="Z14" s="141"/>
      <c r="AA14" s="142"/>
      <c r="AB14" s="172"/>
      <c r="AC14" s="173"/>
      <c r="AD14" s="176"/>
      <c r="AE14" s="177"/>
      <c r="AF14" s="125"/>
      <c r="AG14" s="126"/>
    </row>
    <row r="15" spans="1:33" ht="45.75" thickBot="1">
      <c r="A15" s="180"/>
      <c r="B15" s="23" t="s">
        <v>196</v>
      </c>
      <c r="C15" s="23" t="s">
        <v>400</v>
      </c>
      <c r="D15" s="24" t="s">
        <v>197</v>
      </c>
      <c r="E15" s="23" t="s">
        <v>401</v>
      </c>
      <c r="F15" s="27">
        <v>5</v>
      </c>
      <c r="G15" s="23" t="s">
        <v>445</v>
      </c>
      <c r="H15" s="139"/>
      <c r="I15" s="146"/>
      <c r="J15" s="172"/>
      <c r="K15" s="173"/>
      <c r="L15" s="186">
        <f>DCOUNTA(Haupttabelle[#All],Main!AG1,A2:E3)</f>
        <v>3</v>
      </c>
      <c r="M15" s="187"/>
      <c r="N15" s="147"/>
      <c r="O15" s="148"/>
      <c r="P15" s="172"/>
      <c r="Q15" s="173"/>
      <c r="R15" s="178"/>
      <c r="S15" s="179"/>
      <c r="T15" s="141"/>
      <c r="U15" s="142"/>
      <c r="V15" s="172"/>
      <c r="W15" s="173"/>
      <c r="X15" s="178"/>
      <c r="Y15" s="179"/>
      <c r="Z15" s="141"/>
      <c r="AA15" s="142"/>
      <c r="AB15" s="172"/>
      <c r="AC15" s="173"/>
      <c r="AD15" s="176"/>
      <c r="AE15" s="177"/>
      <c r="AF15" s="125"/>
      <c r="AG15" s="126"/>
    </row>
    <row r="16" spans="1:33" ht="90.75" thickBot="1">
      <c r="A16" s="28" t="s">
        <v>402</v>
      </c>
      <c r="B16" s="29" t="s">
        <v>198</v>
      </c>
      <c r="C16" s="29" t="s">
        <v>403</v>
      </c>
      <c r="D16" s="30" t="s">
        <v>199</v>
      </c>
      <c r="E16" s="29" t="s">
        <v>404</v>
      </c>
      <c r="F16" s="34" t="s">
        <v>441</v>
      </c>
      <c r="G16" s="29" t="s">
        <v>446</v>
      </c>
      <c r="H16" s="139"/>
      <c r="I16" s="146"/>
      <c r="J16" s="172"/>
      <c r="K16" s="173"/>
      <c r="L16" s="186">
        <f>DCOUNTA(Haupttabelle[#All],Main!AJ1,A2:E3)</f>
        <v>0</v>
      </c>
      <c r="M16" s="187"/>
      <c r="N16" s="147"/>
      <c r="O16" s="148"/>
      <c r="P16" s="172"/>
      <c r="Q16" s="173"/>
      <c r="R16" s="178"/>
      <c r="S16" s="179"/>
      <c r="T16" s="141"/>
      <c r="U16" s="142"/>
      <c r="V16" s="172"/>
      <c r="W16" s="173"/>
      <c r="X16" s="178"/>
      <c r="Y16" s="179"/>
      <c r="Z16" s="141"/>
      <c r="AA16" s="142"/>
      <c r="AB16" s="172"/>
      <c r="AC16" s="173"/>
      <c r="AD16" s="176"/>
      <c r="AE16" s="177"/>
      <c r="AF16" s="125"/>
      <c r="AG16" s="126"/>
    </row>
    <row r="17" spans="1:36" ht="18.75" customHeight="1" thickBot="1">
      <c r="A17" s="31"/>
      <c r="B17" s="32"/>
      <c r="C17" s="32"/>
      <c r="D17" s="33"/>
      <c r="E17" s="32"/>
      <c r="F17" s="32"/>
      <c r="G17" s="32"/>
    </row>
    <row r="18" spans="1:36" ht="79.5" thickBot="1">
      <c r="A18" s="9" t="s">
        <v>388</v>
      </c>
      <c r="B18" s="10" t="s">
        <v>389</v>
      </c>
      <c r="C18" s="10" t="s">
        <v>390</v>
      </c>
      <c r="D18" s="11" t="s">
        <v>391</v>
      </c>
      <c r="E18" s="10" t="s">
        <v>375</v>
      </c>
      <c r="F18" s="10" t="s">
        <v>438</v>
      </c>
      <c r="G18" s="10" t="s">
        <v>439</v>
      </c>
      <c r="H18" s="10" t="s">
        <v>376</v>
      </c>
      <c r="I18" s="11" t="s">
        <v>377</v>
      </c>
      <c r="J18" s="192" t="s">
        <v>378</v>
      </c>
      <c r="K18" s="193"/>
      <c r="L18" s="168" t="s">
        <v>379</v>
      </c>
      <c r="M18" s="169"/>
      <c r="N18" s="12" t="s">
        <v>380</v>
      </c>
      <c r="O18" s="13" t="s">
        <v>381</v>
      </c>
      <c r="P18" s="192" t="s">
        <v>382</v>
      </c>
      <c r="Q18" s="193"/>
      <c r="R18" s="168" t="s">
        <v>383</v>
      </c>
      <c r="S18" s="169"/>
      <c r="T18" s="12" t="s">
        <v>380</v>
      </c>
      <c r="U18" s="13" t="s">
        <v>381</v>
      </c>
      <c r="V18" s="192" t="s">
        <v>384</v>
      </c>
      <c r="W18" s="193"/>
      <c r="X18" s="168" t="s">
        <v>385</v>
      </c>
      <c r="Y18" s="169"/>
      <c r="Z18" s="12" t="s">
        <v>380</v>
      </c>
      <c r="AA18" s="13" t="s">
        <v>381</v>
      </c>
      <c r="AB18" s="192" t="s">
        <v>386</v>
      </c>
      <c r="AC18" s="193"/>
      <c r="AD18" s="168" t="s">
        <v>387</v>
      </c>
      <c r="AE18" s="169"/>
      <c r="AF18" s="12" t="s">
        <v>380</v>
      </c>
      <c r="AG18" s="13" t="s">
        <v>381</v>
      </c>
    </row>
    <row r="19" spans="1:36" ht="18" customHeight="1" thickBot="1">
      <c r="A19" s="10"/>
      <c r="B19" s="10"/>
      <c r="C19" s="10"/>
      <c r="D19" s="11"/>
      <c r="E19" s="10"/>
      <c r="F19" s="10"/>
      <c r="G19" s="10"/>
      <c r="H19" s="10"/>
      <c r="I19" s="11"/>
      <c r="J19" s="35" t="s">
        <v>468</v>
      </c>
      <c r="K19" s="35" t="s">
        <v>126</v>
      </c>
      <c r="L19" s="36" t="s">
        <v>468</v>
      </c>
      <c r="M19" s="37" t="s">
        <v>126</v>
      </c>
      <c r="N19" s="37"/>
      <c r="O19" s="38"/>
      <c r="P19" s="35" t="s">
        <v>468</v>
      </c>
      <c r="Q19" s="35" t="s">
        <v>126</v>
      </c>
      <c r="R19" s="36" t="s">
        <v>468</v>
      </c>
      <c r="S19" s="37" t="s">
        <v>126</v>
      </c>
      <c r="T19" s="37"/>
      <c r="U19" s="38"/>
      <c r="V19" s="35" t="s">
        <v>468</v>
      </c>
      <c r="W19" s="35" t="s">
        <v>126</v>
      </c>
      <c r="X19" s="36" t="s">
        <v>468</v>
      </c>
      <c r="Y19" s="37" t="s">
        <v>126</v>
      </c>
      <c r="Z19" s="37"/>
      <c r="AA19" s="38"/>
      <c r="AB19" s="35" t="s">
        <v>468</v>
      </c>
      <c r="AC19" s="35" t="s">
        <v>126</v>
      </c>
      <c r="AD19" s="36" t="s">
        <v>468</v>
      </c>
      <c r="AE19" s="37" t="s">
        <v>126</v>
      </c>
      <c r="AF19" s="37"/>
      <c r="AG19" s="38"/>
    </row>
    <row r="20" spans="1:36" ht="45" customHeight="1" thickBot="1">
      <c r="A20" s="14" t="s">
        <v>405</v>
      </c>
      <c r="B20" s="15" t="s">
        <v>200</v>
      </c>
      <c r="C20" s="15" t="s">
        <v>406</v>
      </c>
      <c r="D20" s="17" t="s">
        <v>201</v>
      </c>
      <c r="E20" s="15" t="s">
        <v>407</v>
      </c>
      <c r="F20" s="39"/>
      <c r="G20" s="15" t="s">
        <v>447</v>
      </c>
      <c r="H20" s="146"/>
      <c r="I20" s="139"/>
      <c r="J20" s="172"/>
      <c r="K20" s="173"/>
      <c r="L20" s="194">
        <f>DCOUNTA(group_I_40_Partnerorg[#All],I_40!F1,A2:E3)</f>
        <v>1</v>
      </c>
      <c r="M20" s="195"/>
      <c r="N20" s="149"/>
      <c r="O20" s="149"/>
      <c r="P20" s="172"/>
      <c r="Q20" s="173"/>
      <c r="R20" s="196"/>
      <c r="S20" s="197"/>
      <c r="T20" s="150"/>
      <c r="U20" s="151"/>
      <c r="V20" s="172"/>
      <c r="W20" s="173"/>
      <c r="X20" s="196"/>
      <c r="Y20" s="197"/>
      <c r="Z20" s="150"/>
      <c r="AA20" s="151"/>
      <c r="AB20" s="172"/>
      <c r="AC20" s="173"/>
      <c r="AD20" s="198"/>
      <c r="AE20" s="199"/>
      <c r="AF20" s="127"/>
      <c r="AG20" s="128"/>
    </row>
    <row r="21" spans="1:36" ht="90.75" thickBot="1">
      <c r="A21" s="14" t="s">
        <v>408</v>
      </c>
      <c r="B21" s="15" t="s">
        <v>202</v>
      </c>
      <c r="C21" s="15" t="s">
        <v>409</v>
      </c>
      <c r="D21" s="17" t="s">
        <v>203</v>
      </c>
      <c r="E21" s="15" t="s">
        <v>410</v>
      </c>
      <c r="F21" s="39" t="s">
        <v>448</v>
      </c>
      <c r="G21" s="15" t="s">
        <v>449</v>
      </c>
      <c r="H21" s="146"/>
      <c r="I21" s="139"/>
      <c r="J21" s="146"/>
      <c r="K21" s="146"/>
      <c r="L21" s="40">
        <f>DSUM(group_I_41_Einsatzleistende[#All],group_I_41_Einsatzleistende[[#Headers],[Anzahl M]],A2:E3)</f>
        <v>1</v>
      </c>
      <c r="M21" s="41">
        <f>DSUM(group_I_41_Einsatzleistende[#All],group_I_41_Einsatzleistende[[#Headers],[Anzahl F]],A2:E3)</f>
        <v>0</v>
      </c>
      <c r="N21" s="149"/>
      <c r="O21" s="149"/>
      <c r="P21" s="146"/>
      <c r="Q21" s="146"/>
      <c r="R21" s="152"/>
      <c r="S21" s="150"/>
      <c r="T21" s="150"/>
      <c r="U21" s="151"/>
      <c r="V21" s="146"/>
      <c r="W21" s="146"/>
      <c r="X21" s="152"/>
      <c r="Y21" s="150"/>
      <c r="Z21" s="150"/>
      <c r="AA21" s="151"/>
      <c r="AB21" s="146"/>
      <c r="AC21" s="146"/>
      <c r="AD21" s="129"/>
      <c r="AE21" s="127"/>
      <c r="AF21" s="127"/>
      <c r="AG21" s="128"/>
    </row>
    <row r="22" spans="1:36" ht="57.75" customHeight="1" thickBot="1">
      <c r="A22" s="191" t="s">
        <v>411</v>
      </c>
      <c r="B22" s="19" t="s">
        <v>204</v>
      </c>
      <c r="C22" s="19" t="s">
        <v>412</v>
      </c>
      <c r="D22" s="19" t="s">
        <v>205</v>
      </c>
      <c r="E22" s="19" t="s">
        <v>413</v>
      </c>
      <c r="F22" s="22">
        <v>2</v>
      </c>
      <c r="G22" s="19" t="s">
        <v>450</v>
      </c>
      <c r="H22" s="139"/>
      <c r="I22" s="139"/>
      <c r="J22" s="172"/>
      <c r="K22" s="173"/>
      <c r="L22" s="186">
        <f>DCOUNTA(group_I_50_strukt_Veraend[#All],I_50!F1,A2:E3)</f>
        <v>0</v>
      </c>
      <c r="M22" s="187"/>
      <c r="N22" s="148"/>
      <c r="O22" s="148"/>
      <c r="P22" s="172"/>
      <c r="Q22" s="173"/>
      <c r="R22" s="178"/>
      <c r="S22" s="179"/>
      <c r="T22" s="141"/>
      <c r="U22" s="142"/>
      <c r="V22" s="172"/>
      <c r="W22" s="173"/>
      <c r="X22" s="178"/>
      <c r="Y22" s="179"/>
      <c r="Z22" s="141"/>
      <c r="AA22" s="142"/>
      <c r="AB22" s="172"/>
      <c r="AC22" s="173"/>
      <c r="AD22" s="176"/>
      <c r="AE22" s="177"/>
      <c r="AF22" s="125"/>
      <c r="AG22" s="126"/>
    </row>
    <row r="23" spans="1:36" ht="60.75" thickBot="1">
      <c r="A23" s="191"/>
      <c r="B23" s="190" t="s">
        <v>206</v>
      </c>
      <c r="C23" s="190" t="s">
        <v>414</v>
      </c>
      <c r="D23" s="19" t="s">
        <v>207</v>
      </c>
      <c r="E23" s="19" t="s">
        <v>415</v>
      </c>
      <c r="F23" s="22">
        <v>1</v>
      </c>
      <c r="G23" s="19" t="s">
        <v>451</v>
      </c>
      <c r="H23" s="139"/>
      <c r="I23" s="139"/>
      <c r="J23" s="172"/>
      <c r="K23" s="173"/>
      <c r="L23" s="186">
        <f>DCOUNTA(group_I_51_WB_Admin[#All],I_51!F1,A2:E3)</f>
        <v>0</v>
      </c>
      <c r="M23" s="187"/>
      <c r="N23" s="148" t="str">
        <f>CONCATENATE("Nomre de jours: ",DSUM(group_I_51_WB_Admin[#All],group_I_51_WB_Admin[[#Headers],[group_I_51_WB_Admin/Anzahl_Tage_WB_Coaching_I51]],A2:E3))</f>
        <v>Nomre de jours: 0</v>
      </c>
      <c r="O23" s="148"/>
      <c r="P23" s="172"/>
      <c r="Q23" s="173"/>
      <c r="R23" s="178"/>
      <c r="S23" s="179"/>
      <c r="T23" s="141"/>
      <c r="U23" s="142"/>
      <c r="V23" s="172"/>
      <c r="W23" s="173"/>
      <c r="X23" s="178"/>
      <c r="Y23" s="179"/>
      <c r="Z23" s="141"/>
      <c r="AA23" s="142"/>
      <c r="AB23" s="172"/>
      <c r="AC23" s="173"/>
      <c r="AD23" s="176"/>
      <c r="AE23" s="177"/>
      <c r="AF23" s="125"/>
      <c r="AG23" s="126"/>
    </row>
    <row r="24" spans="1:36" ht="60.75" thickBot="1">
      <c r="A24" s="191"/>
      <c r="B24" s="190"/>
      <c r="C24" s="190"/>
      <c r="D24" s="19" t="s">
        <v>208</v>
      </c>
      <c r="E24" s="19" t="s">
        <v>416</v>
      </c>
      <c r="F24" s="22" t="s">
        <v>452</v>
      </c>
      <c r="G24" s="19" t="s">
        <v>453</v>
      </c>
      <c r="H24" s="139"/>
      <c r="I24" s="139"/>
      <c r="J24" s="139"/>
      <c r="K24" s="139"/>
      <c r="L24" s="25">
        <f>DSUM(group_I_51_WB_Admin[#All],group_I_51_WB_Admin[[#Headers],[group_I_51_WB_Admin/I_51b_Anzahl_beg_Maenner]],A2:E3)</f>
        <v>0</v>
      </c>
      <c r="M24" s="26">
        <f>DSUM(group_I_51_WB_Admin[#All],group_I_51_WB_Admin[[#Headers],[group_I_51_WB_Admin/I_51b_Anzahl_beg_Frauen]],A2:E3)</f>
        <v>0</v>
      </c>
      <c r="N24" s="153"/>
      <c r="O24" s="153"/>
      <c r="P24" s="139"/>
      <c r="Q24" s="139"/>
      <c r="R24" s="154"/>
      <c r="S24" s="155"/>
      <c r="T24" s="155"/>
      <c r="U24" s="156"/>
      <c r="V24" s="139"/>
      <c r="W24" s="139"/>
      <c r="X24" s="154"/>
      <c r="Y24" s="155"/>
      <c r="Z24" s="155"/>
      <c r="AA24" s="156"/>
      <c r="AB24" s="139"/>
      <c r="AC24" s="139"/>
      <c r="AD24" s="130"/>
      <c r="AE24" s="131"/>
      <c r="AF24" s="131"/>
      <c r="AG24" s="132"/>
    </row>
    <row r="25" spans="1:36" ht="45.75" thickBot="1">
      <c r="A25" s="191"/>
      <c r="B25" s="190" t="s">
        <v>209</v>
      </c>
      <c r="C25" s="190" t="s">
        <v>417</v>
      </c>
      <c r="D25" s="19" t="s">
        <v>210</v>
      </c>
      <c r="E25" s="19" t="s">
        <v>418</v>
      </c>
      <c r="F25" s="22">
        <v>1</v>
      </c>
      <c r="G25" s="19" t="s">
        <v>454</v>
      </c>
      <c r="H25" s="139"/>
      <c r="I25" s="139"/>
      <c r="J25" s="172"/>
      <c r="K25" s="173"/>
      <c r="L25" s="186">
        <f>DCOUNTA(group_I_52_WB_Fachpers[#All],I_52!F1,A2:E3)</f>
        <v>0</v>
      </c>
      <c r="M25" s="187"/>
      <c r="N25" s="147" t="str">
        <f>CONCATENATE("Nombre de jours: ",DSUM(group_I_52_WB_Fachpers[#All],group_I_52_WB_Fachpers[[#Headers],[group_I_52_WB_Fachpers/Anzahl_Tage_WB_Coaching_I52]],A2:E3))</f>
        <v>Nombre de jours: 0</v>
      </c>
      <c r="O25" s="148"/>
      <c r="P25" s="172"/>
      <c r="Q25" s="173"/>
      <c r="R25" s="178"/>
      <c r="S25" s="179"/>
      <c r="T25" s="141"/>
      <c r="U25" s="142"/>
      <c r="V25" s="172"/>
      <c r="W25" s="173"/>
      <c r="X25" s="178"/>
      <c r="Y25" s="179"/>
      <c r="Z25" s="141"/>
      <c r="AA25" s="142"/>
      <c r="AB25" s="172"/>
      <c r="AC25" s="173"/>
      <c r="AD25" s="176"/>
      <c r="AE25" s="177"/>
      <c r="AF25" s="125"/>
      <c r="AG25" s="126"/>
    </row>
    <row r="26" spans="1:36" ht="60.75" thickBot="1">
      <c r="A26" s="191"/>
      <c r="B26" s="190"/>
      <c r="C26" s="190"/>
      <c r="D26" s="19" t="s">
        <v>211</v>
      </c>
      <c r="E26" s="19" t="s">
        <v>419</v>
      </c>
      <c r="F26" s="22" t="s">
        <v>455</v>
      </c>
      <c r="G26" s="19" t="s">
        <v>453</v>
      </c>
      <c r="H26" s="139"/>
      <c r="I26" s="139"/>
      <c r="J26" s="139"/>
      <c r="K26" s="139"/>
      <c r="L26" s="25">
        <f>DSUM(group_I_52_WB_Fachpers[#All],group_I_52_WB_Fachpers[[#Headers],[group_I_52_WB_Fachpers/I_52b_Anzahl_beg_Maenner]],A2:E3)</f>
        <v>0</v>
      </c>
      <c r="M26" s="26">
        <f>DSUM(group_I_52_WB_Fachpers[#All],group_I_52_WB_Fachpers[[#Headers],[group_I_52_WB_Fachpers/I_52b_Anzahl_beg_Frauen]],A2:E3)</f>
        <v>0</v>
      </c>
      <c r="N26" s="157"/>
      <c r="O26" s="153"/>
      <c r="P26" s="139"/>
      <c r="Q26" s="139"/>
      <c r="R26" s="154"/>
      <c r="S26" s="155"/>
      <c r="T26" s="155"/>
      <c r="U26" s="156"/>
      <c r="V26" s="139"/>
      <c r="W26" s="139"/>
      <c r="X26" s="154"/>
      <c r="Y26" s="155"/>
      <c r="Z26" s="155"/>
      <c r="AA26" s="156"/>
      <c r="AB26" s="139"/>
      <c r="AC26" s="139"/>
      <c r="AD26" s="130"/>
      <c r="AE26" s="131"/>
      <c r="AF26" s="131"/>
      <c r="AG26" s="132"/>
    </row>
    <row r="27" spans="1:36" ht="120.75" thickBot="1">
      <c r="A27" s="191"/>
      <c r="B27" s="190" t="s">
        <v>212</v>
      </c>
      <c r="C27" s="190" t="s">
        <v>420</v>
      </c>
      <c r="D27" s="19" t="s">
        <v>213</v>
      </c>
      <c r="E27" s="19" t="s">
        <v>421</v>
      </c>
      <c r="F27" s="22">
        <v>3</v>
      </c>
      <c r="G27" s="19" t="s">
        <v>456</v>
      </c>
      <c r="H27" s="139"/>
      <c r="I27" s="139"/>
      <c r="J27" s="172"/>
      <c r="K27" s="173"/>
      <c r="L27" s="186">
        <f>DCOUNTA(group_I_53_Infrastruktur[#All],I_53!F1,A2:E3)</f>
        <v>0</v>
      </c>
      <c r="M27" s="187"/>
      <c r="N27" s="147"/>
      <c r="O27" s="148"/>
      <c r="P27" s="172"/>
      <c r="Q27" s="173"/>
      <c r="R27" s="178"/>
      <c r="S27" s="179"/>
      <c r="T27" s="141"/>
      <c r="U27" s="142"/>
      <c r="V27" s="172"/>
      <c r="W27" s="173"/>
      <c r="X27" s="178"/>
      <c r="Y27" s="179"/>
      <c r="Z27" s="141"/>
      <c r="AA27" s="142"/>
      <c r="AB27" s="172"/>
      <c r="AC27" s="173"/>
      <c r="AD27" s="176"/>
      <c r="AE27" s="177"/>
      <c r="AF27" s="125"/>
      <c r="AG27" s="126"/>
    </row>
    <row r="28" spans="1:36" ht="21" customHeight="1" thickBot="1">
      <c r="A28" s="191"/>
      <c r="B28" s="190"/>
      <c r="C28" s="190"/>
      <c r="D28" s="19" t="s">
        <v>214</v>
      </c>
      <c r="E28" s="19" t="s">
        <v>422</v>
      </c>
      <c r="F28" s="22" t="s">
        <v>217</v>
      </c>
      <c r="G28" s="19" t="s">
        <v>457</v>
      </c>
      <c r="H28" s="139"/>
      <c r="I28" s="139"/>
      <c r="J28" s="172"/>
      <c r="K28" s="173"/>
      <c r="L28" s="188">
        <f>DSUM(group_I_53_Infrastruktur[#All],I_53!G1,A2:E3)</f>
        <v>0</v>
      </c>
      <c r="M28" s="189"/>
      <c r="N28" s="147"/>
      <c r="O28" s="148"/>
      <c r="P28" s="172"/>
      <c r="Q28" s="173"/>
      <c r="R28" s="178"/>
      <c r="S28" s="179"/>
      <c r="T28" s="141"/>
      <c r="U28" s="142"/>
      <c r="V28" s="172"/>
      <c r="W28" s="173"/>
      <c r="X28" s="178"/>
      <c r="Y28" s="179"/>
      <c r="Z28" s="141"/>
      <c r="AA28" s="142"/>
      <c r="AB28" s="172"/>
      <c r="AC28" s="173"/>
      <c r="AD28" s="176"/>
      <c r="AE28" s="177"/>
      <c r="AF28" s="125"/>
      <c r="AG28" s="126"/>
    </row>
    <row r="29" spans="1:36" ht="60.75" thickBot="1">
      <c r="A29" s="191"/>
      <c r="B29" s="19" t="s">
        <v>215</v>
      </c>
      <c r="C29" s="19" t="s">
        <v>423</v>
      </c>
      <c r="D29" s="19" t="s">
        <v>216</v>
      </c>
      <c r="E29" s="19" t="s">
        <v>424</v>
      </c>
      <c r="F29" s="22">
        <v>3</v>
      </c>
      <c r="G29" s="19" t="s">
        <v>458</v>
      </c>
      <c r="H29" s="139"/>
      <c r="I29" s="139"/>
      <c r="J29" s="172"/>
      <c r="K29" s="173"/>
      <c r="L29" s="186">
        <f>DCOUNTA(group_I_54_Hilfsmittel[#All],I_54!F1,A2:E3)</f>
        <v>0</v>
      </c>
      <c r="M29" s="187"/>
      <c r="N29" s="147"/>
      <c r="O29" s="148"/>
      <c r="P29" s="172"/>
      <c r="Q29" s="173"/>
      <c r="R29" s="178"/>
      <c r="S29" s="179"/>
      <c r="T29" s="141"/>
      <c r="U29" s="142"/>
      <c r="V29" s="172"/>
      <c r="W29" s="173"/>
      <c r="X29" s="178"/>
      <c r="Y29" s="179"/>
      <c r="Z29" s="141"/>
      <c r="AA29" s="142"/>
      <c r="AB29" s="172"/>
      <c r="AC29" s="173"/>
      <c r="AD29" s="176"/>
      <c r="AE29" s="177"/>
      <c r="AF29" s="125"/>
      <c r="AG29" s="126"/>
      <c r="AH29" s="8"/>
    </row>
    <row r="30" spans="1:36" ht="30.75" thickBot="1">
      <c r="A30" s="180" t="s">
        <v>425</v>
      </c>
      <c r="B30" s="181" t="s">
        <v>218</v>
      </c>
      <c r="C30" s="181" t="s">
        <v>426</v>
      </c>
      <c r="D30" s="23" t="s">
        <v>219</v>
      </c>
      <c r="E30" s="23" t="s">
        <v>427</v>
      </c>
      <c r="F30" s="27" t="s">
        <v>459</v>
      </c>
      <c r="G30" s="23" t="s">
        <v>460</v>
      </c>
      <c r="H30" s="139"/>
      <c r="I30" s="139"/>
      <c r="J30" s="139"/>
      <c r="K30" s="139"/>
      <c r="L30" s="25">
        <f>GETPIVOTDATA("Summe von group_I_60_Beguenstigte/Anzahl_Jungen_Maenner_I60",Pivot!$J$7,"group_I_60_Beguenstigte/Beguenstigte","I_60a_E_Anzahl_Grundschuler")</f>
        <v>151</v>
      </c>
      <c r="M30" s="25">
        <f>GETPIVOTDATA("Summe von group_I_60_Beguenstigte/Anzahl_Maedchen_Frauen_I60",Pivot!$J$7,"group_I_60_Beguenstigte/Beguenstigte","I_60a_E_Anzahl_Grundschuler")</f>
        <v>176</v>
      </c>
      <c r="N30" s="157"/>
      <c r="O30" s="153"/>
      <c r="P30" s="139"/>
      <c r="Q30" s="139"/>
      <c r="R30" s="154"/>
      <c r="S30" s="155"/>
      <c r="T30" s="155"/>
      <c r="U30" s="156"/>
      <c r="V30" s="139"/>
      <c r="W30" s="139"/>
      <c r="X30" s="154"/>
      <c r="Y30" s="155"/>
      <c r="Z30" s="155"/>
      <c r="AA30" s="156"/>
      <c r="AB30" s="139"/>
      <c r="AC30" s="139"/>
      <c r="AD30" s="130"/>
      <c r="AE30" s="131"/>
      <c r="AF30" s="131"/>
      <c r="AG30" s="132"/>
      <c r="AI30" s="4">
        <v>0</v>
      </c>
      <c r="AJ30" s="4">
        <v>0</v>
      </c>
    </row>
    <row r="31" spans="1:36" ht="30.75" thickBot="1">
      <c r="A31" s="180"/>
      <c r="B31" s="182"/>
      <c r="C31" s="182"/>
      <c r="D31" s="23" t="s">
        <v>220</v>
      </c>
      <c r="E31" s="23" t="s">
        <v>428</v>
      </c>
      <c r="F31" s="27" t="s">
        <v>461</v>
      </c>
      <c r="G31" s="23" t="s">
        <v>462</v>
      </c>
      <c r="H31" s="139"/>
      <c r="I31" s="139"/>
      <c r="J31" s="139"/>
      <c r="K31" s="139"/>
      <c r="L31" s="25">
        <f>GETPIVOTDATA("Summe von group_I_60_Beguenstigte/Anzahl_Jungen_Maenner_I60",Pivot!$J$7,"group_I_60_Beguenstigte/Beguenstigte","I_60b_E_Anzahl_Berufsschuler")</f>
        <v>5</v>
      </c>
      <c r="M31" s="26">
        <f>GETPIVOTDATA("Summe von group_I_60_Beguenstigte/Anzahl_Maedchen_Frauen_I60",Pivot!$J$7,"group_I_60_Beguenstigte/Beguenstigte","I_60b_E_Anzahl_Berufsschuler")</f>
        <v>6</v>
      </c>
      <c r="N31" s="157"/>
      <c r="O31" s="153"/>
      <c r="P31" s="139"/>
      <c r="Q31" s="139"/>
      <c r="R31" s="154"/>
      <c r="S31" s="155"/>
      <c r="T31" s="155"/>
      <c r="U31" s="156"/>
      <c r="V31" s="139"/>
      <c r="W31" s="139"/>
      <c r="X31" s="154"/>
      <c r="Y31" s="155"/>
      <c r="Z31" s="155"/>
      <c r="AA31" s="156"/>
      <c r="AB31" s="139"/>
      <c r="AC31" s="139"/>
      <c r="AD31" s="130"/>
      <c r="AE31" s="131"/>
      <c r="AF31" s="131"/>
      <c r="AG31" s="132"/>
      <c r="AI31" s="4">
        <v>0</v>
      </c>
      <c r="AJ31" s="4">
        <v>0</v>
      </c>
    </row>
    <row r="32" spans="1:36" ht="30.75" thickBot="1">
      <c r="A32" s="180"/>
      <c r="B32" s="183"/>
      <c r="C32" s="183"/>
      <c r="D32" s="23" t="s">
        <v>221</v>
      </c>
      <c r="E32" s="23" t="s">
        <v>429</v>
      </c>
      <c r="F32" s="27" t="s">
        <v>463</v>
      </c>
      <c r="G32" s="23" t="s">
        <v>464</v>
      </c>
      <c r="H32" s="139"/>
      <c r="I32" s="139"/>
      <c r="J32" s="139"/>
      <c r="K32" s="139"/>
      <c r="L32" s="25">
        <f>GETPIVOTDATA("Summe von group_I_60_Beguenstigte/Anzahl_Jungen_Maenner_I60",Pivot!$J$7,"group_I_60_Beguenstigte/Beguenstigte","I_60c_E_Anzahl_ausserschulische_Angebote")</f>
        <v>1</v>
      </c>
      <c r="M32" s="26">
        <f>GETPIVOTDATA("Summe von group_I_60_Beguenstigte/Anzahl_Maedchen_Frauen_I60",Pivot!$J$7,"group_I_60_Beguenstigte/Beguenstigte","I_60c_E_Anzahl_ausserschulische_Angebote")</f>
        <v>1</v>
      </c>
      <c r="N32" s="157"/>
      <c r="O32" s="153"/>
      <c r="P32" s="139"/>
      <c r="Q32" s="139"/>
      <c r="R32" s="154"/>
      <c r="S32" s="155"/>
      <c r="T32" s="155"/>
      <c r="U32" s="156"/>
      <c r="V32" s="139"/>
      <c r="W32" s="139"/>
      <c r="X32" s="154"/>
      <c r="Y32" s="155"/>
      <c r="Z32" s="155"/>
      <c r="AA32" s="156"/>
      <c r="AB32" s="139"/>
      <c r="AC32" s="139"/>
      <c r="AD32" s="130"/>
      <c r="AE32" s="131"/>
      <c r="AF32" s="131"/>
      <c r="AG32" s="132"/>
      <c r="AI32" s="4">
        <v>0</v>
      </c>
      <c r="AJ32" s="4">
        <v>0</v>
      </c>
    </row>
    <row r="33" spans="1:33" ht="90.75" thickBot="1">
      <c r="A33" s="180"/>
      <c r="B33" s="23" t="s">
        <v>222</v>
      </c>
      <c r="C33" s="23" t="s">
        <v>430</v>
      </c>
      <c r="D33" s="24" t="s">
        <v>223</v>
      </c>
      <c r="E33" s="23" t="s">
        <v>431</v>
      </c>
      <c r="F33" s="27" t="s">
        <v>463</v>
      </c>
      <c r="G33" s="23" t="s">
        <v>465</v>
      </c>
      <c r="H33" s="146"/>
      <c r="I33" s="139"/>
      <c r="J33" s="146"/>
      <c r="K33" s="146"/>
      <c r="L33" s="40">
        <f>GETPIVOTDATA("Summe von group_I_61_geistlich_Beguensti/Anzahl_Jungen_Maenner_I61",Pivot!$N$7,"Schwerpunkt","Grund_und_Berufsbildung","Waehle_Indikator/I_61",TRUE)</f>
        <v>1</v>
      </c>
      <c r="M33" s="41">
        <f>GETPIVOTDATA("Summe von group_I_61_geistlich_Beguensti/Anzahl_Maedchen_Frauen_I61",Pivot!$N$7,"Schwerpunkt","Grund_und_Berufsbildung","Waehle_Indikator/I_61",TRUE)</f>
        <v>1</v>
      </c>
      <c r="N33" s="158"/>
      <c r="O33" s="149"/>
      <c r="P33" s="146"/>
      <c r="Q33" s="146"/>
      <c r="R33" s="152"/>
      <c r="S33" s="150"/>
      <c r="T33" s="150"/>
      <c r="U33" s="151"/>
      <c r="V33" s="146"/>
      <c r="W33" s="146"/>
      <c r="X33" s="152"/>
      <c r="Y33" s="150"/>
      <c r="Z33" s="150"/>
      <c r="AA33" s="151"/>
      <c r="AB33" s="146"/>
      <c r="AC33" s="146"/>
      <c r="AD33" s="129"/>
      <c r="AE33" s="127"/>
      <c r="AF33" s="127"/>
      <c r="AG33" s="128"/>
    </row>
    <row r="34" spans="1:33" ht="60.75" thickBot="1">
      <c r="A34" s="28" t="s">
        <v>432</v>
      </c>
      <c r="B34" s="29" t="s">
        <v>224</v>
      </c>
      <c r="C34" s="29" t="s">
        <v>433</v>
      </c>
      <c r="D34" s="30" t="s">
        <v>225</v>
      </c>
      <c r="E34" s="29" t="s">
        <v>434</v>
      </c>
      <c r="F34" s="34">
        <v>3</v>
      </c>
      <c r="G34" s="29" t="s">
        <v>466</v>
      </c>
      <c r="H34" s="146"/>
      <c r="I34" s="139"/>
      <c r="J34" s="172"/>
      <c r="K34" s="173"/>
      <c r="L34" s="184">
        <f>DCOUNTA(group_I_70_Anz_Kontakte[#All],I_70!F1,A2:E3)</f>
        <v>0</v>
      </c>
      <c r="M34" s="185"/>
      <c r="N34" s="159"/>
      <c r="O34" s="160"/>
      <c r="P34" s="172"/>
      <c r="Q34" s="173"/>
      <c r="R34" s="170"/>
      <c r="S34" s="171"/>
      <c r="T34" s="161"/>
      <c r="U34" s="162"/>
      <c r="V34" s="172"/>
      <c r="W34" s="173"/>
      <c r="X34" s="170"/>
      <c r="Y34" s="171"/>
      <c r="Z34" s="161"/>
      <c r="AA34" s="162"/>
      <c r="AB34" s="172"/>
      <c r="AC34" s="173"/>
      <c r="AD34" s="174"/>
      <c r="AE34" s="175"/>
      <c r="AF34" s="133"/>
      <c r="AG34" s="134"/>
    </row>
    <row r="35" spans="1:33" ht="16.5" thickBot="1"/>
    <row r="36" spans="1:33" ht="16.5" thickBot="1">
      <c r="A36" s="9"/>
      <c r="B36" s="10" t="s">
        <v>435</v>
      </c>
      <c r="C36" s="10" t="s">
        <v>436</v>
      </c>
      <c r="D36" s="11"/>
      <c r="E36" s="10" t="s">
        <v>437</v>
      </c>
      <c r="F36" s="10"/>
      <c r="G36" s="10" t="s">
        <v>467</v>
      </c>
    </row>
    <row r="37" spans="1:33" ht="16.5" thickBot="1">
      <c r="A37" s="14"/>
      <c r="B37" s="15" t="s">
        <v>226</v>
      </c>
      <c r="C37" s="139"/>
      <c r="D37" s="146"/>
      <c r="E37" s="139"/>
      <c r="F37" s="16"/>
      <c r="G37" s="16"/>
    </row>
    <row r="38" spans="1:33" ht="16.5" thickBot="1">
      <c r="A38" s="14"/>
      <c r="B38" s="15" t="s">
        <v>227</v>
      </c>
      <c r="C38" s="139"/>
      <c r="D38" s="146"/>
      <c r="E38" s="139"/>
      <c r="F38" s="16"/>
      <c r="G38" s="16"/>
    </row>
  </sheetData>
  <sheetProtection formatCells="0" formatColumns="0" formatRows="0" insertRows="0"/>
  <mergeCells count="181">
    <mergeCell ref="AB5:AC5"/>
    <mergeCell ref="J6:K6"/>
    <mergeCell ref="L6:M6"/>
    <mergeCell ref="P6:Q6"/>
    <mergeCell ref="R6:S6"/>
    <mergeCell ref="V6:W6"/>
    <mergeCell ref="X6:Y6"/>
    <mergeCell ref="AB6:AC6"/>
    <mergeCell ref="J5:K5"/>
    <mergeCell ref="L5:O5"/>
    <mergeCell ref="P5:Q5"/>
    <mergeCell ref="R5:U5"/>
    <mergeCell ref="V5:W5"/>
    <mergeCell ref="X5:AA5"/>
    <mergeCell ref="AB7:AC7"/>
    <mergeCell ref="J8:K8"/>
    <mergeCell ref="L8:M8"/>
    <mergeCell ref="P8:Q8"/>
    <mergeCell ref="R8:S8"/>
    <mergeCell ref="V8:W8"/>
    <mergeCell ref="X8:Y8"/>
    <mergeCell ref="AB8:AC8"/>
    <mergeCell ref="J7:K7"/>
    <mergeCell ref="L7:M7"/>
    <mergeCell ref="P7:Q7"/>
    <mergeCell ref="R7:S7"/>
    <mergeCell ref="V7:W7"/>
    <mergeCell ref="X7:Y7"/>
    <mergeCell ref="AB9:AC9"/>
    <mergeCell ref="AD9:AG9"/>
    <mergeCell ref="J10:K10"/>
    <mergeCell ref="L10:M10"/>
    <mergeCell ref="P10:Q10"/>
    <mergeCell ref="R10:S10"/>
    <mergeCell ref="V10:W10"/>
    <mergeCell ref="X10:Y10"/>
    <mergeCell ref="AB10:AC10"/>
    <mergeCell ref="AD10:AE10"/>
    <mergeCell ref="J9:K9"/>
    <mergeCell ref="L9:O9"/>
    <mergeCell ref="P9:Q9"/>
    <mergeCell ref="R9:U9"/>
    <mergeCell ref="V9:W9"/>
    <mergeCell ref="X9:AA9"/>
    <mergeCell ref="AB13:AC13"/>
    <mergeCell ref="R11:S11"/>
    <mergeCell ref="V11:W11"/>
    <mergeCell ref="X11:Y11"/>
    <mergeCell ref="AB11:AC11"/>
    <mergeCell ref="A11:A13"/>
    <mergeCell ref="B11:B13"/>
    <mergeCell ref="C11:C13"/>
    <mergeCell ref="J11:K11"/>
    <mergeCell ref="L11:M11"/>
    <mergeCell ref="P11:Q11"/>
    <mergeCell ref="J13:K13"/>
    <mergeCell ref="L13:M13"/>
    <mergeCell ref="J12:K12"/>
    <mergeCell ref="L12:M12"/>
    <mergeCell ref="P12:Q12"/>
    <mergeCell ref="R12:S12"/>
    <mergeCell ref="V12:W12"/>
    <mergeCell ref="A14:A15"/>
    <mergeCell ref="J14:K14"/>
    <mergeCell ref="P14:Q14"/>
    <mergeCell ref="R14:S14"/>
    <mergeCell ref="V14:W14"/>
    <mergeCell ref="P13:Q13"/>
    <mergeCell ref="R13:S13"/>
    <mergeCell ref="V13:W13"/>
    <mergeCell ref="X14:Y14"/>
    <mergeCell ref="X13:Y13"/>
    <mergeCell ref="AB14:AC14"/>
    <mergeCell ref="AD14:AE14"/>
    <mergeCell ref="J15:K15"/>
    <mergeCell ref="J16:K16"/>
    <mergeCell ref="L16:M16"/>
    <mergeCell ref="P16:Q16"/>
    <mergeCell ref="R16:S16"/>
    <mergeCell ref="V16:W16"/>
    <mergeCell ref="X16:Y16"/>
    <mergeCell ref="AB16:AC16"/>
    <mergeCell ref="AD16:AE16"/>
    <mergeCell ref="L15:M15"/>
    <mergeCell ref="P15:Q15"/>
    <mergeCell ref="R15:S15"/>
    <mergeCell ref="V15:W15"/>
    <mergeCell ref="X15:Y15"/>
    <mergeCell ref="AB15:AC15"/>
    <mergeCell ref="A22:A29"/>
    <mergeCell ref="J22:K22"/>
    <mergeCell ref="L22:M22"/>
    <mergeCell ref="P22:Q22"/>
    <mergeCell ref="R22:S22"/>
    <mergeCell ref="V22:W22"/>
    <mergeCell ref="AB18:AC18"/>
    <mergeCell ref="AD18:AE18"/>
    <mergeCell ref="J20:K20"/>
    <mergeCell ref="L20:M20"/>
    <mergeCell ref="P20:Q20"/>
    <mergeCell ref="R20:S20"/>
    <mergeCell ref="V20:W20"/>
    <mergeCell ref="X20:Y20"/>
    <mergeCell ref="AB20:AC20"/>
    <mergeCell ref="AD20:AE20"/>
    <mergeCell ref="J18:K18"/>
    <mergeCell ref="L18:M18"/>
    <mergeCell ref="P18:Q18"/>
    <mergeCell ref="R18:S18"/>
    <mergeCell ref="V18:W18"/>
    <mergeCell ref="X18:Y18"/>
    <mergeCell ref="J27:K27"/>
    <mergeCell ref="L27:M27"/>
    <mergeCell ref="P27:Q27"/>
    <mergeCell ref="R27:S27"/>
    <mergeCell ref="V27:W27"/>
    <mergeCell ref="X23:Y23"/>
    <mergeCell ref="AB23:AC23"/>
    <mergeCell ref="AD23:AE23"/>
    <mergeCell ref="B25:B26"/>
    <mergeCell ref="C25:C26"/>
    <mergeCell ref="J25:K25"/>
    <mergeCell ref="L25:M25"/>
    <mergeCell ref="P25:Q25"/>
    <mergeCell ref="R25:S25"/>
    <mergeCell ref="V25:W25"/>
    <mergeCell ref="B23:B24"/>
    <mergeCell ref="C23:C24"/>
    <mergeCell ref="J23:K23"/>
    <mergeCell ref="L23:M23"/>
    <mergeCell ref="P23:Q23"/>
    <mergeCell ref="R23:S23"/>
    <mergeCell ref="V23:W23"/>
    <mergeCell ref="A30:A33"/>
    <mergeCell ref="B30:B32"/>
    <mergeCell ref="C30:C32"/>
    <mergeCell ref="J34:K34"/>
    <mergeCell ref="L34:M34"/>
    <mergeCell ref="P34:Q34"/>
    <mergeCell ref="AD28:AE28"/>
    <mergeCell ref="J29:K29"/>
    <mergeCell ref="L29:M29"/>
    <mergeCell ref="P29:Q29"/>
    <mergeCell ref="R29:S29"/>
    <mergeCell ref="V29:W29"/>
    <mergeCell ref="X29:Y29"/>
    <mergeCell ref="AB29:AC29"/>
    <mergeCell ref="AD29:AE29"/>
    <mergeCell ref="J28:K28"/>
    <mergeCell ref="L28:M28"/>
    <mergeCell ref="P28:Q28"/>
    <mergeCell ref="R28:S28"/>
    <mergeCell ref="V28:W28"/>
    <mergeCell ref="X28:Y28"/>
    <mergeCell ref="AB28:AC28"/>
    <mergeCell ref="B27:B28"/>
    <mergeCell ref="C27:C28"/>
    <mergeCell ref="AD5:AG5"/>
    <mergeCell ref="AD6:AE6"/>
    <mergeCell ref="R34:S34"/>
    <mergeCell ref="V34:W34"/>
    <mergeCell ref="X34:Y34"/>
    <mergeCell ref="AB34:AC34"/>
    <mergeCell ref="AD34:AE34"/>
    <mergeCell ref="AD7:AE7"/>
    <mergeCell ref="AD8:AE8"/>
    <mergeCell ref="X27:Y27"/>
    <mergeCell ref="AB27:AC27"/>
    <mergeCell ref="AD27:AE27"/>
    <mergeCell ref="X25:Y25"/>
    <mergeCell ref="AB25:AC25"/>
    <mergeCell ref="AD25:AE25"/>
    <mergeCell ref="X22:Y22"/>
    <mergeCell ref="AB22:AC22"/>
    <mergeCell ref="AD22:AE22"/>
    <mergeCell ref="AD15:AE15"/>
    <mergeCell ref="AD13:AE13"/>
    <mergeCell ref="X12:Y12"/>
    <mergeCell ref="AB12:AC12"/>
    <mergeCell ref="AD12:AE12"/>
    <mergeCell ref="AD11:AE11"/>
  </mergeCells>
  <pageMargins left="0.7" right="0.7" top="0.78740157499999996" bottom="0.78740157499999996" header="0.3" footer="0.3"/>
  <pageSetup paperSize="9" orientation="portrait" horizontalDpi="4294967293" verticalDpi="0" r:id="rId1"/>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F5C3CEC1-888B-4874-9E6E-809156DF1A49}">
          <x14:formula1>
            <xm:f>Pivot!$F$8:$F$11</xm:f>
          </x14:formula1>
          <xm:sqref>E3</xm:sqref>
        </x14:dataValidation>
      </x14:dataValidations>
    </ext>
    <ext xmlns:x14="http://schemas.microsoft.com/office/spreadsheetml/2009/9/main" uri="{A8765BA9-456A-4dab-B4F3-ACF838C121DE}">
      <x14:slicerList>
        <x14:slicer r:id="rId4"/>
      </x14:slicerList>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805C0-4CC3-4D44-910A-35E6CCCDC2FB}">
  <dimension ref="A1:N6"/>
  <sheetViews>
    <sheetView workbookViewId="0">
      <selection activeCell="E2" sqref="E2"/>
    </sheetView>
  </sheetViews>
  <sheetFormatPr baseColWidth="10" defaultColWidth="27.85546875" defaultRowHeight="15"/>
  <cols>
    <col min="1" max="1" width="8.5703125" bestFit="1" customWidth="1"/>
    <col min="2" max="2" width="8.7109375" bestFit="1" customWidth="1"/>
    <col min="3" max="3" width="13.28515625" bestFit="1" customWidth="1"/>
    <col min="4" max="4" width="16.85546875" bestFit="1" customWidth="1"/>
    <col min="5" max="5" width="35" bestFit="1" customWidth="1"/>
    <col min="6" max="6" width="58.42578125" bestFit="1" customWidth="1"/>
    <col min="7" max="7" width="6" bestFit="1" customWidth="1"/>
    <col min="8" max="8" width="8.28515625" bestFit="1" customWidth="1"/>
    <col min="9" max="9" width="19.5703125" bestFit="1" customWidth="1"/>
    <col min="10" max="10" width="9.28515625" bestFit="1" customWidth="1"/>
    <col min="11" max="11" width="26.5703125" bestFit="1" customWidth="1"/>
    <col min="12" max="12" width="16.140625" bestFit="1" customWidth="1"/>
    <col min="13" max="13" width="7.85546875" bestFit="1" customWidth="1"/>
    <col min="14" max="14" width="9.28515625" bestFit="1" customWidth="1"/>
  </cols>
  <sheetData>
    <row r="1" spans="1:14">
      <c r="A1" t="s">
        <v>3</v>
      </c>
      <c r="B1" t="s">
        <v>4</v>
      </c>
      <c r="C1" t="s">
        <v>5</v>
      </c>
      <c r="D1" t="s">
        <v>6</v>
      </c>
      <c r="E1" t="s">
        <v>7</v>
      </c>
      <c r="F1" t="s">
        <v>135</v>
      </c>
      <c r="G1" t="s">
        <v>48</v>
      </c>
      <c r="H1" t="s">
        <v>49</v>
      </c>
      <c r="I1" t="s">
        <v>50</v>
      </c>
      <c r="J1" t="s">
        <v>51</v>
      </c>
      <c r="K1" t="s">
        <v>52</v>
      </c>
      <c r="L1" t="s">
        <v>53</v>
      </c>
      <c r="M1" t="s">
        <v>54</v>
      </c>
      <c r="N1" t="s">
        <v>55</v>
      </c>
    </row>
    <row r="2" spans="1:14">
      <c r="A2" s="2" t="str">
        <f>VLOOKUP(group_I_50_strukt_Veraend[[#This Row],[_parent_index]],Haupttabelle[[#All],[Index]:[Schwerpunkt]],4)</f>
        <v>AZU</v>
      </c>
      <c r="B2" s="2" t="str">
        <f>VLOOKUP(group_I_50_strukt_Veraend[[#This Row],[_parent_index]],Haupttabelle[[#All],[Index]:[Schwerpunkt]],5)</f>
        <v>Tschad</v>
      </c>
      <c r="C2" s="2" t="str">
        <f>VLOOKUP(group_I_50_strukt_Veraend[[#This Row],[_parent_index]],Haupttabelle[[#All],[Index]:[Schwerpunkt]],6)</f>
        <v>ProRadja</v>
      </c>
      <c r="D2" s="2" t="str">
        <f>VLOOKUP(group_I_50_strukt_Veraend[[#This Row],[_parent_index]],Haupttabelle[[#All],[Index]:[Schwerpunkt]],7)</f>
        <v>Oasis</v>
      </c>
      <c r="E2" s="2" t="str">
        <f>VLOOKUP(group_I_50_strukt_Veraend[[#This Row],[_parent_index]],Haupttabelle[[#All],[Index]:[Schwerpunkt]],8)</f>
        <v>medizinische_Arbeit_und_Prävention</v>
      </c>
      <c r="F2" s="2" t="s">
        <v>136</v>
      </c>
      <c r="J2">
        <v>1</v>
      </c>
      <c r="K2" s="2" t="s">
        <v>94</v>
      </c>
      <c r="L2">
        <v>2</v>
      </c>
    </row>
    <row r="3" spans="1:14">
      <c r="A3" s="2" t="str">
        <f>VLOOKUP(group_I_50_strukt_Veraend[[#This Row],[_parent_index]],Haupttabelle[[#All],[Index]:[Schwerpunkt]],4)</f>
        <v>AZU</v>
      </c>
      <c r="B3" s="2" t="str">
        <f>VLOOKUP(group_I_50_strukt_Veraend[[#This Row],[_parent_index]],Haupttabelle[[#All],[Index]:[Schwerpunkt]],5)</f>
        <v>Tschad</v>
      </c>
      <c r="C3" s="2" t="str">
        <f>VLOOKUP(group_I_50_strukt_Veraend[[#This Row],[_parent_index]],Haupttabelle[[#All],[Index]:[Schwerpunkt]],6)</f>
        <v>ProRadja</v>
      </c>
      <c r="D3" s="2" t="str">
        <f>VLOOKUP(group_I_50_strukt_Veraend[[#This Row],[_parent_index]],Haupttabelle[[#All],[Index]:[Schwerpunkt]],7)</f>
        <v>Oasis</v>
      </c>
      <c r="E3" s="2" t="str">
        <f>VLOOKUP(group_I_50_strukt_Veraend[[#This Row],[_parent_index]],Haupttabelle[[#All],[Index]:[Schwerpunkt]],8)</f>
        <v>medizinische_Arbeit_und_Prävention</v>
      </c>
      <c r="F3" s="2" t="s">
        <v>137</v>
      </c>
      <c r="J3">
        <v>2</v>
      </c>
      <c r="K3" s="2" t="s">
        <v>94</v>
      </c>
      <c r="L3">
        <v>2</v>
      </c>
    </row>
    <row r="4" spans="1:14">
      <c r="A4" s="2" t="str">
        <f>VLOOKUP(group_I_50_strukt_Veraend[[#This Row],[_parent_index]],Haupttabelle[[#All],[Index]:[Schwerpunkt]],4)</f>
        <v>AZU</v>
      </c>
      <c r="B4" s="2" t="str">
        <f>VLOOKUP(group_I_50_strukt_Veraend[[#This Row],[_parent_index]],Haupttabelle[[#All],[Index]:[Schwerpunkt]],5)</f>
        <v>Tschad</v>
      </c>
      <c r="C4" s="2" t="str">
        <f>VLOOKUP(group_I_50_strukt_Veraend[[#This Row],[_parent_index]],Haupttabelle[[#All],[Index]:[Schwerpunkt]],6)</f>
        <v>ProRadja</v>
      </c>
      <c r="D4" s="2" t="str">
        <f>VLOOKUP(group_I_50_strukt_Veraend[[#This Row],[_parent_index]],Haupttabelle[[#All],[Index]:[Schwerpunkt]],7)</f>
        <v>Oasis</v>
      </c>
      <c r="E4" s="2" t="str">
        <f>VLOOKUP(group_I_50_strukt_Veraend[[#This Row],[_parent_index]],Haupttabelle[[#All],[Index]:[Schwerpunkt]],8)</f>
        <v>medizinische_Arbeit_und_Prävention</v>
      </c>
      <c r="F4" s="2" t="s">
        <v>138</v>
      </c>
      <c r="J4">
        <v>3</v>
      </c>
      <c r="K4" s="2" t="s">
        <v>94</v>
      </c>
      <c r="L4">
        <v>2</v>
      </c>
    </row>
    <row r="5" spans="1:14">
      <c r="A5" s="2" t="str">
        <f>VLOOKUP(group_I_50_strukt_Veraend[[#This Row],[_parent_index]],Haupttabelle[[#All],[Index]:[Schwerpunkt]],4)</f>
        <v>BRI</v>
      </c>
      <c r="B5" s="2" t="str">
        <f>VLOOKUP(group_I_50_strukt_Veraend[[#This Row],[_parent_index]],Haupttabelle[[#All],[Index]:[Schwerpunkt]],5)</f>
        <v>Brasilien</v>
      </c>
      <c r="C5" s="2" t="str">
        <f>VLOOKUP(group_I_50_strukt_Veraend[[#This Row],[_parent_index]],Haupttabelle[[#All],[Index]:[Schwerpunkt]],6)</f>
        <v>ProRibeirinho</v>
      </c>
      <c r="D5" s="2" t="str">
        <f>VLOOKUP(group_I_50_strukt_Veraend[[#This Row],[_parent_index]],Haupttabelle[[#All],[Index]:[Schwerpunkt]],7)</f>
        <v>TP1_Spiritualitaet</v>
      </c>
      <c r="E5" s="2" t="str">
        <f>VLOOKUP(group_I_50_strukt_Veraend[[#This Row],[_parent_index]],Haupttabelle[[#All],[Index]:[Schwerpunkt]],8)</f>
        <v>theologische_Bildung_und_Praxis</v>
      </c>
      <c r="F5" s="2" t="s">
        <v>139</v>
      </c>
      <c r="J5">
        <v>4</v>
      </c>
      <c r="K5" s="2" t="s">
        <v>94</v>
      </c>
      <c r="L5">
        <v>3</v>
      </c>
    </row>
    <row r="6" spans="1:14">
      <c r="A6" s="2" t="str">
        <f>VLOOKUP(group_I_50_strukt_Veraend[[#This Row],[_parent_index]],Haupttabelle[[#All],[Index]:[Schwerpunkt]],4)</f>
        <v>BRI</v>
      </c>
      <c r="B6" s="2" t="str">
        <f>VLOOKUP(group_I_50_strukt_Veraend[[#This Row],[_parent_index]],Haupttabelle[[#All],[Index]:[Schwerpunkt]],5)</f>
        <v>Brasilien</v>
      </c>
      <c r="C6" s="2" t="str">
        <f>VLOOKUP(group_I_50_strukt_Veraend[[#This Row],[_parent_index]],Haupttabelle[[#All],[Index]:[Schwerpunkt]],6)</f>
        <v>ProRibeirinho</v>
      </c>
      <c r="D6" s="2" t="str">
        <f>VLOOKUP(group_I_50_strukt_Veraend[[#This Row],[_parent_index]],Haupttabelle[[#All],[Index]:[Schwerpunkt]],7)</f>
        <v>TP1_Spiritualitaet</v>
      </c>
      <c r="E6" s="2" t="str">
        <f>VLOOKUP(group_I_50_strukt_Veraend[[#This Row],[_parent_index]],Haupttabelle[[#All],[Index]:[Schwerpunkt]],8)</f>
        <v>theologische_Bildung_und_Praxis</v>
      </c>
      <c r="F6" s="2" t="s">
        <v>140</v>
      </c>
      <c r="J6">
        <v>5</v>
      </c>
      <c r="K6" s="2" t="s">
        <v>94</v>
      </c>
      <c r="L6">
        <v>3</v>
      </c>
    </row>
  </sheetData>
  <pageMargins left="0.7" right="0.7" top="0.78740157499999996" bottom="0.78740157499999996"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B304B-722E-48CB-9904-B86149068040}">
  <dimension ref="A1:Q5"/>
  <sheetViews>
    <sheetView workbookViewId="0">
      <selection activeCell="G2" sqref="G2:G5"/>
    </sheetView>
  </sheetViews>
  <sheetFormatPr baseColWidth="10" defaultColWidth="27.85546875" defaultRowHeight="15"/>
  <cols>
    <col min="1" max="1" width="8.5703125" bestFit="1" customWidth="1"/>
    <col min="2" max="2" width="8.7109375" bestFit="1" customWidth="1"/>
    <col min="3" max="3" width="13.28515625" bestFit="1" customWidth="1"/>
    <col min="4" max="4" width="16.85546875" bestFit="1" customWidth="1"/>
    <col min="5" max="5" width="35" bestFit="1" customWidth="1"/>
    <col min="6" max="6" width="57.28515625" bestFit="1" customWidth="1"/>
    <col min="7" max="7" width="53.7109375" bestFit="1" customWidth="1"/>
    <col min="8" max="8" width="51" bestFit="1" customWidth="1"/>
    <col min="9" max="9" width="48.85546875" bestFit="1" customWidth="1"/>
    <col min="10" max="10" width="6" bestFit="1" customWidth="1"/>
    <col min="11" max="11" width="8.28515625" bestFit="1" customWidth="1"/>
    <col min="12" max="12" width="19.5703125" bestFit="1" customWidth="1"/>
    <col min="13" max="13" width="9.28515625" bestFit="1" customWidth="1"/>
    <col min="14" max="14" width="26.5703125" bestFit="1" customWidth="1"/>
    <col min="15" max="15" width="16.140625" bestFit="1" customWidth="1"/>
    <col min="16" max="16" width="7.85546875" bestFit="1" customWidth="1"/>
    <col min="17" max="17" width="9.28515625" bestFit="1" customWidth="1"/>
  </cols>
  <sheetData>
    <row r="1" spans="1:17">
      <c r="A1" t="s">
        <v>3</v>
      </c>
      <c r="B1" t="s">
        <v>4</v>
      </c>
      <c r="C1" t="s">
        <v>5</v>
      </c>
      <c r="D1" t="s">
        <v>6</v>
      </c>
      <c r="E1" t="s">
        <v>7</v>
      </c>
      <c r="F1" t="s">
        <v>141</v>
      </c>
      <c r="G1" t="s">
        <v>142</v>
      </c>
      <c r="H1" t="s">
        <v>143</v>
      </c>
      <c r="I1" t="s">
        <v>144</v>
      </c>
      <c r="J1" t="s">
        <v>48</v>
      </c>
      <c r="K1" t="s">
        <v>49</v>
      </c>
      <c r="L1" t="s">
        <v>50</v>
      </c>
      <c r="M1" t="s">
        <v>51</v>
      </c>
      <c r="N1" t="s">
        <v>52</v>
      </c>
      <c r="O1" t="s">
        <v>53</v>
      </c>
      <c r="P1" t="s">
        <v>54</v>
      </c>
      <c r="Q1" t="s">
        <v>55</v>
      </c>
    </row>
    <row r="2" spans="1:17">
      <c r="A2" s="2" t="str">
        <f>VLOOKUP(group_I_51_WB_Admin[[#This Row],[_parent_index]],Haupttabelle[[#All],[Index]:[Schwerpunkt]],4)</f>
        <v>AZU</v>
      </c>
      <c r="B2" s="2" t="str">
        <f>VLOOKUP(group_I_51_WB_Admin[[#This Row],[_parent_index]],Haupttabelle[[#All],[Index]:[Schwerpunkt]],5)</f>
        <v>Tschad</v>
      </c>
      <c r="C2" s="2" t="str">
        <f>VLOOKUP(group_I_51_WB_Admin[[#This Row],[_parent_index]],Haupttabelle[[#All],[Index]:[Schwerpunkt]],6)</f>
        <v>ProRadja</v>
      </c>
      <c r="D2" s="2" t="str">
        <f>VLOOKUP(group_I_51_WB_Admin[[#This Row],[_parent_index]],Haupttabelle[[#All],[Index]:[Schwerpunkt]],7)</f>
        <v>Oasis</v>
      </c>
      <c r="E2" s="2" t="str">
        <f>VLOOKUP(group_I_51_WB_Admin[[#This Row],[_parent_index]],Haupttabelle[[#All],[Index]:[Schwerpunkt]],8)</f>
        <v>medizinische_Arbeit_und_Prävention</v>
      </c>
      <c r="F2" s="2" t="s">
        <v>145</v>
      </c>
      <c r="G2">
        <v>4</v>
      </c>
      <c r="H2">
        <v>1</v>
      </c>
      <c r="I2">
        <v>0</v>
      </c>
      <c r="M2">
        <v>1</v>
      </c>
      <c r="N2" s="2" t="s">
        <v>94</v>
      </c>
      <c r="O2">
        <v>2</v>
      </c>
    </row>
    <row r="3" spans="1:17">
      <c r="A3" s="2" t="str">
        <f>VLOOKUP(group_I_51_WB_Admin[[#This Row],[_parent_index]],Haupttabelle[[#All],[Index]:[Schwerpunkt]],4)</f>
        <v>AZU</v>
      </c>
      <c r="B3" s="2" t="str">
        <f>VLOOKUP(group_I_51_WB_Admin[[#This Row],[_parent_index]],Haupttabelle[[#All],[Index]:[Schwerpunkt]],5)</f>
        <v>Tschad</v>
      </c>
      <c r="C3" s="2" t="str">
        <f>VLOOKUP(group_I_51_WB_Admin[[#This Row],[_parent_index]],Haupttabelle[[#All],[Index]:[Schwerpunkt]],6)</f>
        <v>ProRadja</v>
      </c>
      <c r="D3" s="2" t="str">
        <f>VLOOKUP(group_I_51_WB_Admin[[#This Row],[_parent_index]],Haupttabelle[[#All],[Index]:[Schwerpunkt]],7)</f>
        <v>Oasis</v>
      </c>
      <c r="E3" s="2" t="str">
        <f>VLOOKUP(group_I_51_WB_Admin[[#This Row],[_parent_index]],Haupttabelle[[#All],[Index]:[Schwerpunkt]],8)</f>
        <v>medizinische_Arbeit_und_Prävention</v>
      </c>
      <c r="F3" s="2" t="s">
        <v>145</v>
      </c>
      <c r="G3">
        <v>5</v>
      </c>
      <c r="H3">
        <v>0</v>
      </c>
      <c r="I3">
        <v>2</v>
      </c>
      <c r="M3">
        <v>2</v>
      </c>
      <c r="N3" s="2" t="s">
        <v>94</v>
      </c>
      <c r="O3">
        <v>2</v>
      </c>
    </row>
    <row r="4" spans="1:17">
      <c r="A4" s="2" t="str">
        <f>VLOOKUP(group_I_51_WB_Admin[[#This Row],[_parent_index]],Haupttabelle[[#All],[Index]:[Schwerpunkt]],4)</f>
        <v>BRI</v>
      </c>
      <c r="B4" s="2" t="str">
        <f>VLOOKUP(group_I_51_WB_Admin[[#This Row],[_parent_index]],Haupttabelle[[#All],[Index]:[Schwerpunkt]],5)</f>
        <v>Brasilien</v>
      </c>
      <c r="C4" s="2" t="str">
        <f>VLOOKUP(group_I_51_WB_Admin[[#This Row],[_parent_index]],Haupttabelle[[#All],[Index]:[Schwerpunkt]],6)</f>
        <v>ProRibeirinho</v>
      </c>
      <c r="D4" s="2" t="str">
        <f>VLOOKUP(group_I_51_WB_Admin[[#This Row],[_parent_index]],Haupttabelle[[#All],[Index]:[Schwerpunkt]],7)</f>
        <v>TP1_Spiritualitaet</v>
      </c>
      <c r="E4" s="2" t="str">
        <f>VLOOKUP(group_I_51_WB_Admin[[#This Row],[_parent_index]],Haupttabelle[[#All],[Index]:[Schwerpunkt]],8)</f>
        <v>theologische_Bildung_und_Praxis</v>
      </c>
      <c r="F4" s="2" t="s">
        <v>146</v>
      </c>
      <c r="G4">
        <v>4</v>
      </c>
      <c r="H4">
        <v>4</v>
      </c>
      <c r="I4">
        <v>4</v>
      </c>
      <c r="M4">
        <v>3</v>
      </c>
      <c r="N4" s="2" t="s">
        <v>94</v>
      </c>
      <c r="O4">
        <v>3</v>
      </c>
    </row>
    <row r="5" spans="1:17">
      <c r="A5" s="2" t="str">
        <f>VLOOKUP(group_I_51_WB_Admin[[#This Row],[_parent_index]],Haupttabelle[[#All],[Index]:[Schwerpunkt]],4)</f>
        <v>BRI</v>
      </c>
      <c r="B5" s="2" t="str">
        <f>VLOOKUP(group_I_51_WB_Admin[[#This Row],[_parent_index]],Haupttabelle[[#All],[Index]:[Schwerpunkt]],5)</f>
        <v>Brasilien</v>
      </c>
      <c r="C5" s="2" t="str">
        <f>VLOOKUP(group_I_51_WB_Admin[[#This Row],[_parent_index]],Haupttabelle[[#All],[Index]:[Schwerpunkt]],6)</f>
        <v>ProRibeirinho</v>
      </c>
      <c r="D5" s="2" t="str">
        <f>VLOOKUP(group_I_51_WB_Admin[[#This Row],[_parent_index]],Haupttabelle[[#All],[Index]:[Schwerpunkt]],7)</f>
        <v>TP1_Spiritualitaet</v>
      </c>
      <c r="E5" s="2" t="str">
        <f>VLOOKUP(group_I_51_WB_Admin[[#This Row],[_parent_index]],Haupttabelle[[#All],[Index]:[Schwerpunkt]],8)</f>
        <v>theologische_Bildung_und_Praxis</v>
      </c>
      <c r="F5" s="2" t="s">
        <v>147</v>
      </c>
      <c r="G5">
        <v>5</v>
      </c>
      <c r="H5">
        <v>5</v>
      </c>
      <c r="I5">
        <v>5</v>
      </c>
      <c r="M5">
        <v>4</v>
      </c>
      <c r="N5" s="2" t="s">
        <v>94</v>
      </c>
      <c r="O5">
        <v>3</v>
      </c>
    </row>
  </sheetData>
  <pageMargins left="0.7" right="0.7" top="0.78740157499999996" bottom="0.78740157499999996"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F8748-266F-4490-AC14-548F1651F37F}">
  <dimension ref="A1:Q4"/>
  <sheetViews>
    <sheetView topLeftCell="G1" workbookViewId="0">
      <selection activeCell="G2" sqref="G2:G4"/>
    </sheetView>
  </sheetViews>
  <sheetFormatPr baseColWidth="10" defaultColWidth="27.85546875" defaultRowHeight="15"/>
  <cols>
    <col min="1" max="1" width="8.5703125" bestFit="1" customWidth="1"/>
    <col min="2" max="2" width="8.7109375" bestFit="1" customWidth="1"/>
    <col min="3" max="3" width="13.28515625" bestFit="1" customWidth="1"/>
    <col min="4" max="4" width="16.85546875" bestFit="1" customWidth="1"/>
    <col min="5" max="5" width="35" bestFit="1" customWidth="1"/>
    <col min="6" max="6" width="58.7109375" bestFit="1" customWidth="1"/>
    <col min="7" max="7" width="55.85546875" bestFit="1" customWidth="1"/>
    <col min="8" max="8" width="53" bestFit="1" customWidth="1"/>
    <col min="9" max="9" width="51" bestFit="1" customWidth="1"/>
    <col min="10" max="10" width="6" bestFit="1" customWidth="1"/>
    <col min="11" max="11" width="8.28515625" bestFit="1" customWidth="1"/>
    <col min="12" max="12" width="19.5703125" bestFit="1" customWidth="1"/>
    <col min="13" max="13" width="9.28515625" bestFit="1" customWidth="1"/>
    <col min="14" max="14" width="26.5703125" bestFit="1" customWidth="1"/>
    <col min="15" max="15" width="16.140625" bestFit="1" customWidth="1"/>
    <col min="16" max="16" width="7.85546875" bestFit="1" customWidth="1"/>
    <col min="17" max="17" width="9.28515625" bestFit="1" customWidth="1"/>
  </cols>
  <sheetData>
    <row r="1" spans="1:17">
      <c r="A1" t="s">
        <v>3</v>
      </c>
      <c r="B1" t="s">
        <v>4</v>
      </c>
      <c r="C1" t="s">
        <v>5</v>
      </c>
      <c r="D1" t="s">
        <v>6</v>
      </c>
      <c r="E1" t="s">
        <v>7</v>
      </c>
      <c r="F1" t="s">
        <v>148</v>
      </c>
      <c r="G1" t="s">
        <v>149</v>
      </c>
      <c r="H1" t="s">
        <v>150</v>
      </c>
      <c r="I1" t="s">
        <v>151</v>
      </c>
      <c r="J1" t="s">
        <v>48</v>
      </c>
      <c r="K1" t="s">
        <v>49</v>
      </c>
      <c r="L1" t="s">
        <v>50</v>
      </c>
      <c r="M1" t="s">
        <v>51</v>
      </c>
      <c r="N1" t="s">
        <v>52</v>
      </c>
      <c r="O1" t="s">
        <v>53</v>
      </c>
      <c r="P1" t="s">
        <v>54</v>
      </c>
      <c r="Q1" t="s">
        <v>55</v>
      </c>
    </row>
    <row r="2" spans="1:17">
      <c r="A2" s="2" t="str">
        <f>VLOOKUP(group_I_52_WB_Fachpers[[#This Row],[_parent_index]],Haupttabelle[[#All],[Index]:[Schwerpunkt]],4)</f>
        <v>AZU</v>
      </c>
      <c r="B2" s="2" t="str">
        <f>VLOOKUP(group_I_52_WB_Fachpers[[#This Row],[_parent_index]],Haupttabelle[[#All],[Index]:[Schwerpunkt]],5)</f>
        <v>Tschad</v>
      </c>
      <c r="C2" s="2" t="str">
        <f>VLOOKUP(group_I_52_WB_Fachpers[[#This Row],[_parent_index]],Haupttabelle[[#All],[Index]:[Schwerpunkt]],6)</f>
        <v>ProRadja</v>
      </c>
      <c r="D2" s="2" t="str">
        <f>VLOOKUP(group_I_52_WB_Fachpers[[#This Row],[_parent_index]],Haupttabelle[[#All],[Index]:[Schwerpunkt]],7)</f>
        <v>Oasis</v>
      </c>
      <c r="E2" s="2" t="str">
        <f>VLOOKUP(group_I_52_WB_Fachpers[[#This Row],[_parent_index]],Haupttabelle[[#All],[Index]:[Schwerpunkt]],8)</f>
        <v>medizinische_Arbeit_und_Prävention</v>
      </c>
      <c r="F2" s="2" t="s">
        <v>152</v>
      </c>
      <c r="G2">
        <v>33</v>
      </c>
      <c r="H2">
        <v>4</v>
      </c>
      <c r="I2">
        <v>18</v>
      </c>
      <c r="M2">
        <v>1</v>
      </c>
      <c r="N2" s="2" t="s">
        <v>94</v>
      </c>
      <c r="O2">
        <v>2</v>
      </c>
    </row>
    <row r="3" spans="1:17">
      <c r="A3" s="2" t="str">
        <f>VLOOKUP(group_I_52_WB_Fachpers[[#This Row],[_parent_index]],Haupttabelle[[#All],[Index]:[Schwerpunkt]],4)</f>
        <v>BRI</v>
      </c>
      <c r="B3" s="2" t="str">
        <f>VLOOKUP(group_I_52_WB_Fachpers[[#This Row],[_parent_index]],Haupttabelle[[#All],[Index]:[Schwerpunkt]],5)</f>
        <v>Brasilien</v>
      </c>
      <c r="C3" s="2" t="str">
        <f>VLOOKUP(group_I_52_WB_Fachpers[[#This Row],[_parent_index]],Haupttabelle[[#All],[Index]:[Schwerpunkt]],6)</f>
        <v>ProRibeirinho</v>
      </c>
      <c r="D3" s="2" t="str">
        <f>VLOOKUP(group_I_52_WB_Fachpers[[#This Row],[_parent_index]],Haupttabelle[[#All],[Index]:[Schwerpunkt]],7)</f>
        <v>TP1_Spiritualitaet</v>
      </c>
      <c r="E3" s="2" t="str">
        <f>VLOOKUP(group_I_52_WB_Fachpers[[#This Row],[_parent_index]],Haupttabelle[[#All],[Index]:[Schwerpunkt]],8)</f>
        <v>theologische_Bildung_und_Praxis</v>
      </c>
      <c r="F3" s="2" t="s">
        <v>153</v>
      </c>
      <c r="G3">
        <v>7</v>
      </c>
      <c r="H3">
        <v>7</v>
      </c>
      <c r="I3">
        <v>7</v>
      </c>
      <c r="M3">
        <v>2</v>
      </c>
      <c r="N3" s="2" t="s">
        <v>94</v>
      </c>
      <c r="O3">
        <v>3</v>
      </c>
    </row>
    <row r="4" spans="1:17">
      <c r="A4" s="2" t="str">
        <f>VLOOKUP(group_I_52_WB_Fachpers[[#This Row],[_parent_index]],Haupttabelle[[#All],[Index]:[Schwerpunkt]],4)</f>
        <v>BRI</v>
      </c>
      <c r="B4" s="2" t="str">
        <f>VLOOKUP(group_I_52_WB_Fachpers[[#This Row],[_parent_index]],Haupttabelle[[#All],[Index]:[Schwerpunkt]],5)</f>
        <v>Brasilien</v>
      </c>
      <c r="C4" s="2" t="str">
        <f>VLOOKUP(group_I_52_WB_Fachpers[[#This Row],[_parent_index]],Haupttabelle[[#All],[Index]:[Schwerpunkt]],6)</f>
        <v>ProRibeirinho</v>
      </c>
      <c r="D4" s="2" t="str">
        <f>VLOOKUP(group_I_52_WB_Fachpers[[#This Row],[_parent_index]],Haupttabelle[[#All],[Index]:[Schwerpunkt]],7)</f>
        <v>TP1_Spiritualitaet</v>
      </c>
      <c r="E4" s="2" t="str">
        <f>VLOOKUP(group_I_52_WB_Fachpers[[#This Row],[_parent_index]],Haupttabelle[[#All],[Index]:[Schwerpunkt]],8)</f>
        <v>theologische_Bildung_und_Praxis</v>
      </c>
      <c r="F4" s="2" t="s">
        <v>154</v>
      </c>
      <c r="G4">
        <v>8</v>
      </c>
      <c r="H4">
        <v>8</v>
      </c>
      <c r="I4">
        <v>8</v>
      </c>
      <c r="M4">
        <v>3</v>
      </c>
      <c r="N4" s="2" t="s">
        <v>94</v>
      </c>
      <c r="O4">
        <v>3</v>
      </c>
    </row>
  </sheetData>
  <pageMargins left="0.7" right="0.7" top="0.78740157499999996" bottom="0.78740157499999996"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40AFE-B40C-4F1D-A0E9-2A7C3697C7D1}">
  <dimension ref="A1:O5"/>
  <sheetViews>
    <sheetView workbookViewId="0">
      <selection activeCell="F11" sqref="F11"/>
    </sheetView>
  </sheetViews>
  <sheetFormatPr baseColWidth="10" defaultColWidth="27.85546875" defaultRowHeight="15"/>
  <cols>
    <col min="1" max="1" width="8.5703125" bestFit="1" customWidth="1"/>
    <col min="2" max="2" width="8.7109375" bestFit="1" customWidth="1"/>
    <col min="3" max="3" width="13.28515625" bestFit="1" customWidth="1"/>
    <col min="4" max="4" width="16.85546875" bestFit="1" customWidth="1"/>
    <col min="5" max="5" width="35" bestFit="1" customWidth="1"/>
    <col min="6" max="6" width="51.28515625" bestFit="1" customWidth="1"/>
    <col min="7" max="7" width="43.42578125" bestFit="1" customWidth="1"/>
    <col min="8" max="8" width="6" bestFit="1" customWidth="1"/>
    <col min="9" max="9" width="8.28515625" bestFit="1" customWidth="1"/>
    <col min="10" max="10" width="19.5703125" bestFit="1" customWidth="1"/>
    <col min="11" max="11" width="9.28515625" bestFit="1" customWidth="1"/>
    <col min="12" max="12" width="26.5703125" bestFit="1" customWidth="1"/>
    <col min="13" max="13" width="16.140625" bestFit="1" customWidth="1"/>
    <col min="14" max="14" width="7.85546875" bestFit="1" customWidth="1"/>
    <col min="15" max="15" width="9.28515625" bestFit="1" customWidth="1"/>
  </cols>
  <sheetData>
    <row r="1" spans="1:15">
      <c r="A1" t="s">
        <v>3</v>
      </c>
      <c r="B1" t="s">
        <v>4</v>
      </c>
      <c r="C1" t="s">
        <v>5</v>
      </c>
      <c r="D1" t="s">
        <v>6</v>
      </c>
      <c r="E1" t="s">
        <v>7</v>
      </c>
      <c r="F1" t="s">
        <v>155</v>
      </c>
      <c r="G1" t="s">
        <v>156</v>
      </c>
      <c r="H1" t="s">
        <v>48</v>
      </c>
      <c r="I1" t="s">
        <v>49</v>
      </c>
      <c r="J1" t="s">
        <v>50</v>
      </c>
      <c r="K1" t="s">
        <v>51</v>
      </c>
      <c r="L1" t="s">
        <v>52</v>
      </c>
      <c r="M1" t="s">
        <v>53</v>
      </c>
      <c r="N1" t="s">
        <v>54</v>
      </c>
      <c r="O1" t="s">
        <v>55</v>
      </c>
    </row>
    <row r="2" spans="1:15">
      <c r="A2" s="2" t="str">
        <f>VLOOKUP(group_I_53_Infrastruktur[[#This Row],[_parent_index]],Haupttabelle[[#All],[Index]:[Schwerpunkt]],4)</f>
        <v>AZU</v>
      </c>
      <c r="B2" s="2" t="str">
        <f>VLOOKUP(group_I_53_Infrastruktur[[#This Row],[_parent_index]],Haupttabelle[[#All],[Index]:[Schwerpunkt]],5)</f>
        <v>Tschad</v>
      </c>
      <c r="C2" s="2" t="str">
        <f>VLOOKUP(group_I_53_Infrastruktur[[#This Row],[_parent_index]],Haupttabelle[[#All],[Index]:[Schwerpunkt]],6)</f>
        <v>ProRadja</v>
      </c>
      <c r="D2" s="2" t="str">
        <f>VLOOKUP(group_I_53_Infrastruktur[[#This Row],[_parent_index]],Haupttabelle[[#All],[Index]:[Schwerpunkt]],7)</f>
        <v>Oasis</v>
      </c>
      <c r="E2" s="2" t="str">
        <f>VLOOKUP(group_I_53_Infrastruktur[[#This Row],[_parent_index]],Haupttabelle[[#All],[Index]:[Schwerpunkt]],8)</f>
        <v>medizinische_Arbeit_und_Prävention</v>
      </c>
      <c r="F2" s="2" t="s">
        <v>157</v>
      </c>
      <c r="G2">
        <v>2000</v>
      </c>
      <c r="K2">
        <v>1</v>
      </c>
      <c r="L2" s="2" t="s">
        <v>94</v>
      </c>
      <c r="M2">
        <v>2</v>
      </c>
    </row>
    <row r="3" spans="1:15">
      <c r="A3" s="2" t="str">
        <f>VLOOKUP(group_I_53_Infrastruktur[[#This Row],[_parent_index]],Haupttabelle[[#All],[Index]:[Schwerpunkt]],4)</f>
        <v>AZU</v>
      </c>
      <c r="B3" s="2" t="str">
        <f>VLOOKUP(group_I_53_Infrastruktur[[#This Row],[_parent_index]],Haupttabelle[[#All],[Index]:[Schwerpunkt]],5)</f>
        <v>Tschad</v>
      </c>
      <c r="C3" s="2" t="str">
        <f>VLOOKUP(group_I_53_Infrastruktur[[#This Row],[_parent_index]],Haupttabelle[[#All],[Index]:[Schwerpunkt]],6)</f>
        <v>ProRadja</v>
      </c>
      <c r="D3" s="2" t="str">
        <f>VLOOKUP(group_I_53_Infrastruktur[[#This Row],[_parent_index]],Haupttabelle[[#All],[Index]:[Schwerpunkt]],7)</f>
        <v>Oasis</v>
      </c>
      <c r="E3" s="2" t="str">
        <f>VLOOKUP(group_I_53_Infrastruktur[[#This Row],[_parent_index]],Haupttabelle[[#All],[Index]:[Schwerpunkt]],8)</f>
        <v>medizinische_Arbeit_und_Prävention</v>
      </c>
      <c r="F3" s="2" t="s">
        <v>158</v>
      </c>
      <c r="G3">
        <v>2345</v>
      </c>
      <c r="K3">
        <v>2</v>
      </c>
      <c r="L3" s="2" t="s">
        <v>94</v>
      </c>
      <c r="M3">
        <v>2</v>
      </c>
    </row>
    <row r="4" spans="1:15">
      <c r="A4" s="2" t="str">
        <f>VLOOKUP(group_I_53_Infrastruktur[[#This Row],[_parent_index]],Haupttabelle[[#All],[Index]:[Schwerpunkt]],4)</f>
        <v>BRI</v>
      </c>
      <c r="B4" s="2" t="str">
        <f>VLOOKUP(group_I_53_Infrastruktur[[#This Row],[_parent_index]],Haupttabelle[[#All],[Index]:[Schwerpunkt]],5)</f>
        <v>Brasilien</v>
      </c>
      <c r="C4" s="2" t="str">
        <f>VLOOKUP(group_I_53_Infrastruktur[[#This Row],[_parent_index]],Haupttabelle[[#All],[Index]:[Schwerpunkt]],6)</f>
        <v>ProRibeirinho</v>
      </c>
      <c r="D4" s="2" t="str">
        <f>VLOOKUP(group_I_53_Infrastruktur[[#This Row],[_parent_index]],Haupttabelle[[#All],[Index]:[Schwerpunkt]],7)</f>
        <v>TP1_Spiritualitaet</v>
      </c>
      <c r="E4" s="2" t="str">
        <f>VLOOKUP(group_I_53_Infrastruktur[[#This Row],[_parent_index]],Haupttabelle[[#All],[Index]:[Schwerpunkt]],8)</f>
        <v>theologische_Bildung_und_Praxis</v>
      </c>
      <c r="F4" s="2" t="s">
        <v>159</v>
      </c>
      <c r="G4">
        <v>555</v>
      </c>
      <c r="K4">
        <v>3</v>
      </c>
      <c r="L4" s="2" t="s">
        <v>94</v>
      </c>
      <c r="M4">
        <v>3</v>
      </c>
    </row>
    <row r="5" spans="1:15">
      <c r="A5" s="2" t="str">
        <f>VLOOKUP(group_I_53_Infrastruktur[[#This Row],[_parent_index]],Haupttabelle[[#All],[Index]:[Schwerpunkt]],4)</f>
        <v>BRI</v>
      </c>
      <c r="B5" s="2" t="str">
        <f>VLOOKUP(group_I_53_Infrastruktur[[#This Row],[_parent_index]],Haupttabelle[[#All],[Index]:[Schwerpunkt]],5)</f>
        <v>Brasilien</v>
      </c>
      <c r="C5" s="2" t="str">
        <f>VLOOKUP(group_I_53_Infrastruktur[[#This Row],[_parent_index]],Haupttabelle[[#All],[Index]:[Schwerpunkt]],6)</f>
        <v>ProRibeirinho</v>
      </c>
      <c r="D5" s="2" t="str">
        <f>VLOOKUP(group_I_53_Infrastruktur[[#This Row],[_parent_index]],Haupttabelle[[#All],[Index]:[Schwerpunkt]],7)</f>
        <v>TP1_Spiritualitaet</v>
      </c>
      <c r="E5" s="2" t="str">
        <f>VLOOKUP(group_I_53_Infrastruktur[[#This Row],[_parent_index]],Haupttabelle[[#All],[Index]:[Schwerpunkt]],8)</f>
        <v>theologische_Bildung_und_Praxis</v>
      </c>
      <c r="F5" s="2" t="s">
        <v>160</v>
      </c>
      <c r="G5">
        <v>444</v>
      </c>
      <c r="K5">
        <v>4</v>
      </c>
      <c r="L5" s="2" t="s">
        <v>94</v>
      </c>
      <c r="M5">
        <v>3</v>
      </c>
    </row>
  </sheetData>
  <pageMargins left="0.7" right="0.7" top="0.78740157499999996" bottom="0.78740157499999996"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937C0-E420-45AE-976E-CBA993B66BAF}">
  <dimension ref="A1:N5"/>
  <sheetViews>
    <sheetView workbookViewId="0">
      <selection activeCell="F9" sqref="F9"/>
    </sheetView>
  </sheetViews>
  <sheetFormatPr baseColWidth="10" defaultColWidth="27.85546875" defaultRowHeight="15"/>
  <cols>
    <col min="1" max="1" width="8.5703125" bestFit="1" customWidth="1"/>
    <col min="2" max="2" width="8.7109375" bestFit="1" customWidth="1"/>
    <col min="3" max="3" width="13.28515625" bestFit="1" customWidth="1"/>
    <col min="4" max="4" width="16.85546875" bestFit="1" customWidth="1"/>
    <col min="5" max="5" width="35" bestFit="1" customWidth="1"/>
    <col min="6" max="6" width="55.140625" bestFit="1" customWidth="1"/>
    <col min="7" max="7" width="6" bestFit="1" customWidth="1"/>
    <col min="8" max="8" width="8.28515625" bestFit="1" customWidth="1"/>
    <col min="9" max="9" width="19.5703125" bestFit="1" customWidth="1"/>
    <col min="10" max="10" width="9.28515625" bestFit="1" customWidth="1"/>
    <col min="11" max="11" width="26.5703125" bestFit="1" customWidth="1"/>
    <col min="12" max="12" width="16.140625" bestFit="1" customWidth="1"/>
    <col min="13" max="13" width="7.85546875" bestFit="1" customWidth="1"/>
    <col min="14" max="14" width="9.28515625" bestFit="1" customWidth="1"/>
  </cols>
  <sheetData>
    <row r="1" spans="1:14">
      <c r="A1" t="s">
        <v>3</v>
      </c>
      <c r="B1" t="s">
        <v>4</v>
      </c>
      <c r="C1" t="s">
        <v>5</v>
      </c>
      <c r="D1" t="s">
        <v>6</v>
      </c>
      <c r="E1" t="s">
        <v>7</v>
      </c>
      <c r="F1" t="s">
        <v>161</v>
      </c>
      <c r="G1" t="s">
        <v>48</v>
      </c>
      <c r="H1" t="s">
        <v>49</v>
      </c>
      <c r="I1" t="s">
        <v>50</v>
      </c>
      <c r="J1" t="s">
        <v>51</v>
      </c>
      <c r="K1" t="s">
        <v>52</v>
      </c>
      <c r="L1" t="s">
        <v>53</v>
      </c>
      <c r="M1" t="s">
        <v>54</v>
      </c>
      <c r="N1" t="s">
        <v>55</v>
      </c>
    </row>
    <row r="2" spans="1:14">
      <c r="A2" t="str">
        <f>VLOOKUP(group_I_54_Hilfsmittel[[#This Row],[_parent_index]],Haupttabelle[[#All],[Index]:[Schwerpunkt]],4)</f>
        <v>AZU</v>
      </c>
      <c r="B2" t="str">
        <f>VLOOKUP(group_I_54_Hilfsmittel[[#This Row],[_parent_index]],Haupttabelle[[#All],[Index]:[Schwerpunkt]],5)</f>
        <v>Tschad</v>
      </c>
      <c r="C2" t="str">
        <f>VLOOKUP(group_I_54_Hilfsmittel[[#This Row],[_parent_index]],Haupttabelle[[#All],[Index]:[Schwerpunkt]],6)</f>
        <v>ProRadja</v>
      </c>
      <c r="D2" t="str">
        <f>VLOOKUP(group_I_54_Hilfsmittel[[#This Row],[_parent_index]],Haupttabelle[[#All],[Index]:[Schwerpunkt]],7)</f>
        <v>Oasis</v>
      </c>
      <c r="E2" t="str">
        <f>VLOOKUP(group_I_54_Hilfsmittel[[#This Row],[_parent_index]],Haupttabelle[[#All],[Index]:[Schwerpunkt]],8)</f>
        <v>medizinische_Arbeit_und_Prävention</v>
      </c>
      <c r="F2" s="2" t="s">
        <v>162</v>
      </c>
      <c r="J2">
        <v>1</v>
      </c>
      <c r="K2" s="2" t="s">
        <v>94</v>
      </c>
      <c r="L2">
        <v>2</v>
      </c>
    </row>
    <row r="3" spans="1:14">
      <c r="A3" t="str">
        <f>VLOOKUP(group_I_54_Hilfsmittel[[#This Row],[_parent_index]],Haupttabelle[[#All],[Index]:[Schwerpunkt]],4)</f>
        <v>AZU</v>
      </c>
      <c r="B3" t="str">
        <f>VLOOKUP(group_I_54_Hilfsmittel[[#This Row],[_parent_index]],Haupttabelle[[#All],[Index]:[Schwerpunkt]],5)</f>
        <v>Tschad</v>
      </c>
      <c r="C3" t="str">
        <f>VLOOKUP(group_I_54_Hilfsmittel[[#This Row],[_parent_index]],Haupttabelle[[#All],[Index]:[Schwerpunkt]],6)</f>
        <v>ProRadja</v>
      </c>
      <c r="D3" t="str">
        <f>VLOOKUP(group_I_54_Hilfsmittel[[#This Row],[_parent_index]],Haupttabelle[[#All],[Index]:[Schwerpunkt]],7)</f>
        <v>Oasis</v>
      </c>
      <c r="E3" t="str">
        <f>VLOOKUP(group_I_54_Hilfsmittel[[#This Row],[_parent_index]],Haupttabelle[[#All],[Index]:[Schwerpunkt]],8)</f>
        <v>medizinische_Arbeit_und_Prävention</v>
      </c>
      <c r="F3" s="2" t="s">
        <v>163</v>
      </c>
      <c r="J3">
        <v>2</v>
      </c>
      <c r="K3" s="2" t="s">
        <v>94</v>
      </c>
      <c r="L3">
        <v>2</v>
      </c>
    </row>
    <row r="4" spans="1:14">
      <c r="A4" t="str">
        <f>VLOOKUP(group_I_54_Hilfsmittel[[#This Row],[_parent_index]],Haupttabelle[[#All],[Index]:[Schwerpunkt]],4)</f>
        <v>BRI</v>
      </c>
      <c r="B4" t="str">
        <f>VLOOKUP(group_I_54_Hilfsmittel[[#This Row],[_parent_index]],Haupttabelle[[#All],[Index]:[Schwerpunkt]],5)</f>
        <v>Brasilien</v>
      </c>
      <c r="C4" t="str">
        <f>VLOOKUP(group_I_54_Hilfsmittel[[#This Row],[_parent_index]],Haupttabelle[[#All],[Index]:[Schwerpunkt]],6)</f>
        <v>ProRibeirinho</v>
      </c>
      <c r="D4" t="str">
        <f>VLOOKUP(group_I_54_Hilfsmittel[[#This Row],[_parent_index]],Haupttabelle[[#All],[Index]:[Schwerpunkt]],7)</f>
        <v>TP1_Spiritualitaet</v>
      </c>
      <c r="E4" t="str">
        <f>VLOOKUP(group_I_54_Hilfsmittel[[#This Row],[_parent_index]],Haupttabelle[[#All],[Index]:[Schwerpunkt]],8)</f>
        <v>theologische_Bildung_und_Praxis</v>
      </c>
      <c r="F4" s="2" t="s">
        <v>164</v>
      </c>
      <c r="J4">
        <v>3</v>
      </c>
      <c r="K4" s="2" t="s">
        <v>94</v>
      </c>
      <c r="L4">
        <v>3</v>
      </c>
    </row>
    <row r="5" spans="1:14">
      <c r="A5" t="str">
        <f>VLOOKUP(group_I_54_Hilfsmittel[[#This Row],[_parent_index]],Haupttabelle[[#All],[Index]:[Schwerpunkt]],4)</f>
        <v>BRI</v>
      </c>
      <c r="B5" t="str">
        <f>VLOOKUP(group_I_54_Hilfsmittel[[#This Row],[_parent_index]],Haupttabelle[[#All],[Index]:[Schwerpunkt]],5)</f>
        <v>Brasilien</v>
      </c>
      <c r="C5" t="str">
        <f>VLOOKUP(group_I_54_Hilfsmittel[[#This Row],[_parent_index]],Haupttabelle[[#All],[Index]:[Schwerpunkt]],6)</f>
        <v>ProRibeirinho</v>
      </c>
      <c r="D5" t="str">
        <f>VLOOKUP(group_I_54_Hilfsmittel[[#This Row],[_parent_index]],Haupttabelle[[#All],[Index]:[Schwerpunkt]],7)</f>
        <v>TP1_Spiritualitaet</v>
      </c>
      <c r="E5" t="str">
        <f>VLOOKUP(group_I_54_Hilfsmittel[[#This Row],[_parent_index]],Haupttabelle[[#All],[Index]:[Schwerpunkt]],8)</f>
        <v>theologische_Bildung_und_Praxis</v>
      </c>
      <c r="F5" s="2" t="s">
        <v>165</v>
      </c>
      <c r="J5">
        <v>4</v>
      </c>
      <c r="K5" s="2" t="s">
        <v>94</v>
      </c>
      <c r="L5">
        <v>3</v>
      </c>
    </row>
  </sheetData>
  <pageMargins left="0.7" right="0.7" top="0.78740157499999996" bottom="0.78740157499999996"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1AE9E-EC2C-4A18-A5D7-02B7F8550EFF}">
  <dimension ref="A1:Q5"/>
  <sheetViews>
    <sheetView workbookViewId="0">
      <selection activeCell="F12" sqref="F12"/>
    </sheetView>
  </sheetViews>
  <sheetFormatPr baseColWidth="10" defaultColWidth="27.85546875" defaultRowHeight="15"/>
  <cols>
    <col min="1" max="1" width="8.5703125" bestFit="1" customWidth="1"/>
    <col min="2" max="2" width="8.7109375" bestFit="1" customWidth="1"/>
    <col min="3" max="3" width="13.28515625" bestFit="1" customWidth="1"/>
    <col min="4" max="4" width="16.85546875" bestFit="1" customWidth="1"/>
    <col min="5" max="5" width="35" bestFit="1" customWidth="1"/>
    <col min="6" max="6" width="52.7109375" bestFit="1" customWidth="1"/>
    <col min="7" max="7" width="51.7109375" bestFit="1" customWidth="1"/>
    <col min="8" max="8" width="67.7109375" bestFit="1" customWidth="1"/>
    <col min="9" max="9" width="58.140625" bestFit="1" customWidth="1"/>
    <col min="10" max="10" width="6" bestFit="1" customWidth="1"/>
    <col min="11" max="11" width="8.28515625" bestFit="1" customWidth="1"/>
    <col min="12" max="12" width="19.5703125" bestFit="1" customWidth="1"/>
    <col min="13" max="13" width="9.28515625" bestFit="1" customWidth="1"/>
    <col min="14" max="14" width="26.5703125" bestFit="1" customWidth="1"/>
    <col min="15" max="15" width="16.140625" bestFit="1" customWidth="1"/>
    <col min="16" max="16" width="7.85546875" bestFit="1" customWidth="1"/>
    <col min="17" max="17" width="9.28515625" bestFit="1" customWidth="1"/>
  </cols>
  <sheetData>
    <row r="1" spans="1:17">
      <c r="A1" t="s">
        <v>3</v>
      </c>
      <c r="B1" t="s">
        <v>4</v>
      </c>
      <c r="C1" t="s">
        <v>5</v>
      </c>
      <c r="D1" t="s">
        <v>6</v>
      </c>
      <c r="E1" t="s">
        <v>7</v>
      </c>
      <c r="F1" t="s">
        <v>166</v>
      </c>
      <c r="G1" t="s">
        <v>167</v>
      </c>
      <c r="H1" t="s">
        <v>168</v>
      </c>
      <c r="I1" t="s">
        <v>169</v>
      </c>
      <c r="J1" t="s">
        <v>48</v>
      </c>
      <c r="K1" t="s">
        <v>49</v>
      </c>
      <c r="L1" t="s">
        <v>50</v>
      </c>
      <c r="M1" t="s">
        <v>51</v>
      </c>
      <c r="N1" t="s">
        <v>52</v>
      </c>
      <c r="O1" t="s">
        <v>53</v>
      </c>
      <c r="P1" t="s">
        <v>54</v>
      </c>
      <c r="Q1" t="s">
        <v>55</v>
      </c>
    </row>
    <row r="2" spans="1:17">
      <c r="A2" s="2" t="str">
        <f>VLOOKUP(group_I_70_Anz_Kontakte[[#This Row],[_parent_index]],Haupttabelle[[#All],[Index]:[Schwerpunkt]],4)</f>
        <v>AZU</v>
      </c>
      <c r="B2" s="2" t="str">
        <f>VLOOKUP(group_I_70_Anz_Kontakte[[#This Row],[_parent_index]],Haupttabelle[[#All],[Index]:[Schwerpunkt]],5)</f>
        <v>Tschad</v>
      </c>
      <c r="C2" s="2" t="str">
        <f>VLOOKUP(group_I_70_Anz_Kontakte[[#This Row],[_parent_index]],Haupttabelle[[#All],[Index]:[Schwerpunkt]],6)</f>
        <v>ProRadja</v>
      </c>
      <c r="D2" s="2" t="str">
        <f>VLOOKUP(group_I_70_Anz_Kontakte[[#This Row],[_parent_index]],Haupttabelle[[#All],[Index]:[Schwerpunkt]],7)</f>
        <v>Oasis</v>
      </c>
      <c r="E2" s="2" t="str">
        <f>VLOOKUP(group_I_70_Anz_Kontakte[[#This Row],[_parent_index]],Haupttabelle[[#All],[Index]:[Schwerpunkt]],8)</f>
        <v>medizinische_Arbeit_und_Prävention</v>
      </c>
      <c r="F2" s="2" t="s">
        <v>170</v>
      </c>
      <c r="G2" s="2" t="s">
        <v>171</v>
      </c>
      <c r="H2">
        <v>44313</v>
      </c>
      <c r="I2" s="2" t="s">
        <v>172</v>
      </c>
      <c r="M2">
        <v>1</v>
      </c>
      <c r="N2" s="2" t="s">
        <v>94</v>
      </c>
      <c r="O2">
        <v>2</v>
      </c>
    </row>
    <row r="3" spans="1:17">
      <c r="A3" s="2" t="str">
        <f>VLOOKUP(group_I_70_Anz_Kontakte[[#This Row],[_parent_index]],Haupttabelle[[#All],[Index]:[Schwerpunkt]],4)</f>
        <v>AZU</v>
      </c>
      <c r="B3" s="2" t="str">
        <f>VLOOKUP(group_I_70_Anz_Kontakte[[#This Row],[_parent_index]],Haupttabelle[[#All],[Index]:[Schwerpunkt]],5)</f>
        <v>Tschad</v>
      </c>
      <c r="C3" s="2" t="str">
        <f>VLOOKUP(group_I_70_Anz_Kontakte[[#This Row],[_parent_index]],Haupttabelle[[#All],[Index]:[Schwerpunkt]],6)</f>
        <v>ProRadja</v>
      </c>
      <c r="D3" s="2" t="str">
        <f>VLOOKUP(group_I_70_Anz_Kontakte[[#This Row],[_parent_index]],Haupttabelle[[#All],[Index]:[Schwerpunkt]],7)</f>
        <v>Oasis</v>
      </c>
      <c r="E3" s="2" t="str">
        <f>VLOOKUP(group_I_70_Anz_Kontakte[[#This Row],[_parent_index]],Haupttabelle[[#All],[Index]:[Schwerpunkt]],8)</f>
        <v>medizinische_Arbeit_und_Prävention</v>
      </c>
      <c r="F3" s="2" t="s">
        <v>173</v>
      </c>
      <c r="G3" s="2" t="s">
        <v>174</v>
      </c>
      <c r="H3">
        <v>44315</v>
      </c>
      <c r="I3" s="2" t="s">
        <v>175</v>
      </c>
      <c r="M3">
        <v>2</v>
      </c>
      <c r="N3" s="2" t="s">
        <v>94</v>
      </c>
      <c r="O3">
        <v>2</v>
      </c>
    </row>
    <row r="4" spans="1:17">
      <c r="A4" s="2" t="str">
        <f>VLOOKUP(group_I_70_Anz_Kontakte[[#This Row],[_parent_index]],Haupttabelle[[#All],[Index]:[Schwerpunkt]],4)</f>
        <v>BRI</v>
      </c>
      <c r="B4" s="2" t="str">
        <f>VLOOKUP(group_I_70_Anz_Kontakte[[#This Row],[_parent_index]],Haupttabelle[[#All],[Index]:[Schwerpunkt]],5)</f>
        <v>Brasilien</v>
      </c>
      <c r="C4" s="2" t="str">
        <f>VLOOKUP(group_I_70_Anz_Kontakte[[#This Row],[_parent_index]],Haupttabelle[[#All],[Index]:[Schwerpunkt]],6)</f>
        <v>ProRibeirinho</v>
      </c>
      <c r="D4" s="2" t="str">
        <f>VLOOKUP(group_I_70_Anz_Kontakte[[#This Row],[_parent_index]],Haupttabelle[[#All],[Index]:[Schwerpunkt]],7)</f>
        <v>TP1_Spiritualitaet</v>
      </c>
      <c r="E4" s="2" t="str">
        <f>VLOOKUP(group_I_70_Anz_Kontakte[[#This Row],[_parent_index]],Haupttabelle[[#All],[Index]:[Schwerpunkt]],8)</f>
        <v>theologische_Bildung_und_Praxis</v>
      </c>
      <c r="F4" s="2" t="s">
        <v>176</v>
      </c>
      <c r="G4" s="2" t="s">
        <v>171</v>
      </c>
      <c r="H4">
        <v>44313</v>
      </c>
      <c r="I4" s="2" t="s">
        <v>177</v>
      </c>
      <c r="M4">
        <v>3</v>
      </c>
      <c r="N4" s="2" t="s">
        <v>94</v>
      </c>
      <c r="O4">
        <v>3</v>
      </c>
    </row>
    <row r="5" spans="1:17">
      <c r="A5" s="2" t="str">
        <f>VLOOKUP(group_I_70_Anz_Kontakte[[#This Row],[_parent_index]],Haupttabelle[[#All],[Index]:[Schwerpunkt]],4)</f>
        <v>BRI</v>
      </c>
      <c r="B5" s="2" t="str">
        <f>VLOOKUP(group_I_70_Anz_Kontakte[[#This Row],[_parent_index]],Haupttabelle[[#All],[Index]:[Schwerpunkt]],5)</f>
        <v>Brasilien</v>
      </c>
      <c r="C5" s="2" t="str">
        <f>VLOOKUP(group_I_70_Anz_Kontakte[[#This Row],[_parent_index]],Haupttabelle[[#All],[Index]:[Schwerpunkt]],6)</f>
        <v>ProRibeirinho</v>
      </c>
      <c r="D5" s="2" t="str">
        <f>VLOOKUP(group_I_70_Anz_Kontakte[[#This Row],[_parent_index]],Haupttabelle[[#All],[Index]:[Schwerpunkt]],7)</f>
        <v>TP1_Spiritualitaet</v>
      </c>
      <c r="E5" s="2" t="str">
        <f>VLOOKUP(group_I_70_Anz_Kontakte[[#This Row],[_parent_index]],Haupttabelle[[#All],[Index]:[Schwerpunkt]],8)</f>
        <v>theologische_Bildung_und_Praxis</v>
      </c>
      <c r="F5" s="2" t="s">
        <v>176</v>
      </c>
      <c r="G5" s="2" t="s">
        <v>171</v>
      </c>
      <c r="H5">
        <v>44314</v>
      </c>
      <c r="I5" s="2" t="s">
        <v>178</v>
      </c>
      <c r="M5">
        <v>4</v>
      </c>
      <c r="N5" s="2" t="s">
        <v>94</v>
      </c>
      <c r="O5">
        <v>3</v>
      </c>
    </row>
  </sheetData>
  <pageMargins left="0.7" right="0.7" top="0.78740157499999996" bottom="0.78740157499999996"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438D3-9128-4D6B-8E6F-4A14E30438C9}">
  <dimension ref="A1"/>
  <sheetViews>
    <sheetView workbookViewId="0">
      <selection activeCell="B9" sqref="B9"/>
    </sheetView>
  </sheetViews>
  <sheetFormatPr baseColWidth="10" defaultRowHeight="15"/>
  <sheetData>
    <row r="1" spans="1:1">
      <c r="A1" s="46" t="s">
        <v>0</v>
      </c>
    </row>
  </sheetData>
  <hyperlinks>
    <hyperlink ref="A1" r:id="rId1" xr:uid="{91EB45BB-AA58-41D0-85E2-34C87CCBC9EF}"/>
  </hyperlink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9A149-F33B-401B-84E1-E3F111F9747D}">
  <dimension ref="A1:P21"/>
  <sheetViews>
    <sheetView topLeftCell="A10" workbookViewId="0">
      <selection activeCell="F30" sqref="F30:H42"/>
    </sheetView>
  </sheetViews>
  <sheetFormatPr baseColWidth="10" defaultColWidth="18.7109375" defaultRowHeight="15"/>
  <cols>
    <col min="1" max="1" width="36.85546875" customWidth="1"/>
    <col min="2" max="2" width="23.7109375" bestFit="1" customWidth="1"/>
    <col min="3" max="3" width="6.7109375" bestFit="1" customWidth="1"/>
    <col min="4" max="4" width="15.5703125" bestFit="1" customWidth="1"/>
    <col min="5" max="5" width="5.7109375" customWidth="1"/>
    <col min="6" max="6" width="36.85546875" customWidth="1"/>
    <col min="7" max="8" width="17.140625" customWidth="1"/>
    <col min="9" max="9" width="5.140625" customWidth="1"/>
    <col min="10" max="10" width="28.140625" customWidth="1"/>
    <col min="13" max="13" width="7.7109375" customWidth="1"/>
  </cols>
  <sheetData>
    <row r="1" spans="1:16">
      <c r="A1" s="45" t="s">
        <v>192</v>
      </c>
      <c r="F1" s="45" t="s">
        <v>329</v>
      </c>
      <c r="J1" s="45" t="s">
        <v>233</v>
      </c>
      <c r="N1" s="45" t="s">
        <v>223</v>
      </c>
    </row>
    <row r="2" spans="1:16">
      <c r="A2" s="42" t="s">
        <v>3</v>
      </c>
      <c r="B2" t="s">
        <v>228</v>
      </c>
      <c r="F2" s="42" t="s">
        <v>3</v>
      </c>
      <c r="G2" t="s">
        <v>228</v>
      </c>
      <c r="J2" s="42" t="s">
        <v>3</v>
      </c>
      <c r="K2" t="s">
        <v>228</v>
      </c>
      <c r="N2" s="42" t="s">
        <v>3</v>
      </c>
      <c r="O2" t="s">
        <v>228</v>
      </c>
    </row>
    <row r="3" spans="1:16">
      <c r="A3" s="42" t="s">
        <v>4</v>
      </c>
      <c r="B3" t="s">
        <v>228</v>
      </c>
      <c r="F3" s="42" t="s">
        <v>4</v>
      </c>
      <c r="G3" t="s">
        <v>228</v>
      </c>
      <c r="J3" s="42" t="s">
        <v>4</v>
      </c>
      <c r="K3" t="s">
        <v>228</v>
      </c>
      <c r="N3" s="42" t="s">
        <v>4</v>
      </c>
      <c r="O3" t="s">
        <v>228</v>
      </c>
    </row>
    <row r="4" spans="1:16">
      <c r="A4" s="42" t="s">
        <v>5</v>
      </c>
      <c r="B4" t="s">
        <v>228</v>
      </c>
      <c r="F4" s="42" t="s">
        <v>5</v>
      </c>
      <c r="G4" t="s">
        <v>228</v>
      </c>
      <c r="J4" s="42" t="s">
        <v>5</v>
      </c>
      <c r="K4" t="s">
        <v>228</v>
      </c>
      <c r="N4" s="42" t="s">
        <v>5</v>
      </c>
      <c r="O4" t="s">
        <v>228</v>
      </c>
    </row>
    <row r="5" spans="1:16">
      <c r="A5" s="42" t="s">
        <v>6</v>
      </c>
      <c r="B5" t="s">
        <v>228</v>
      </c>
      <c r="F5" s="42" t="s">
        <v>6</v>
      </c>
      <c r="G5" t="s">
        <v>228</v>
      </c>
      <c r="J5" s="42" t="s">
        <v>6</v>
      </c>
      <c r="K5" t="s">
        <v>228</v>
      </c>
      <c r="N5" s="42" t="s">
        <v>6</v>
      </c>
      <c r="O5" t="s">
        <v>228</v>
      </c>
    </row>
    <row r="6" spans="1:16">
      <c r="G6" s="47" t="s">
        <v>122</v>
      </c>
      <c r="H6" s="47" t="s">
        <v>126</v>
      </c>
      <c r="K6" s="47" t="s">
        <v>122</v>
      </c>
      <c r="L6" s="47" t="s">
        <v>126</v>
      </c>
      <c r="O6" s="47" t="s">
        <v>122</v>
      </c>
      <c r="P6" s="47" t="s">
        <v>126</v>
      </c>
    </row>
    <row r="7" spans="1:16">
      <c r="A7" s="42" t="s">
        <v>328</v>
      </c>
      <c r="B7" s="42" t="s">
        <v>325</v>
      </c>
      <c r="F7" s="42" t="s">
        <v>229</v>
      </c>
      <c r="G7" t="s">
        <v>330</v>
      </c>
      <c r="H7" t="s">
        <v>331</v>
      </c>
      <c r="J7" s="42" t="s">
        <v>229</v>
      </c>
      <c r="K7" t="s">
        <v>231</v>
      </c>
      <c r="L7" t="s">
        <v>232</v>
      </c>
      <c r="N7" s="42" t="s">
        <v>229</v>
      </c>
      <c r="O7" t="s">
        <v>340</v>
      </c>
      <c r="P7" t="s">
        <v>341</v>
      </c>
    </row>
    <row r="8" spans="1:16" s="44" customFormat="1">
      <c r="A8" s="42" t="s">
        <v>229</v>
      </c>
      <c r="B8" t="s">
        <v>326</v>
      </c>
      <c r="C8" t="s">
        <v>327</v>
      </c>
      <c r="D8" t="s">
        <v>230</v>
      </c>
      <c r="F8" s="43" t="s">
        <v>237</v>
      </c>
      <c r="G8" s="2">
        <v>3</v>
      </c>
      <c r="H8" s="2">
        <v>3</v>
      </c>
      <c r="I8"/>
      <c r="J8" s="43" t="s">
        <v>242</v>
      </c>
      <c r="K8" s="2">
        <v>151</v>
      </c>
      <c r="L8" s="2">
        <v>176</v>
      </c>
      <c r="N8" s="43" t="s">
        <v>326</v>
      </c>
      <c r="O8" s="2"/>
      <c r="P8" s="2"/>
    </row>
    <row r="9" spans="1:16">
      <c r="A9" s="43" t="s">
        <v>237</v>
      </c>
      <c r="B9" s="2"/>
      <c r="C9" s="2">
        <v>2</v>
      </c>
      <c r="D9" s="2">
        <v>2</v>
      </c>
      <c r="F9" s="43" t="s">
        <v>60</v>
      </c>
      <c r="G9" s="2">
        <v>7</v>
      </c>
      <c r="H9" s="2">
        <v>8</v>
      </c>
      <c r="J9" s="43" t="s">
        <v>334</v>
      </c>
      <c r="K9" s="2">
        <v>5</v>
      </c>
      <c r="L9" s="2">
        <v>6</v>
      </c>
      <c r="N9" s="49" t="s">
        <v>237</v>
      </c>
      <c r="O9" s="2"/>
      <c r="P9" s="2"/>
    </row>
    <row r="10" spans="1:16">
      <c r="A10" s="43" t="s">
        <v>60</v>
      </c>
      <c r="B10" s="2"/>
      <c r="C10" s="2">
        <v>2</v>
      </c>
      <c r="D10" s="2">
        <v>2</v>
      </c>
      <c r="F10" s="43" t="s">
        <v>82</v>
      </c>
      <c r="G10" s="2">
        <v>7</v>
      </c>
      <c r="H10" s="2">
        <v>7</v>
      </c>
      <c r="J10" s="43" t="s">
        <v>251</v>
      </c>
      <c r="K10" s="2">
        <v>1</v>
      </c>
      <c r="L10" s="2">
        <v>1</v>
      </c>
      <c r="N10" s="49" t="s">
        <v>60</v>
      </c>
      <c r="O10" s="2"/>
      <c r="P10" s="2"/>
    </row>
    <row r="11" spans="1:16">
      <c r="A11" s="43" t="s">
        <v>82</v>
      </c>
      <c r="B11" s="2"/>
      <c r="C11" s="2">
        <v>2</v>
      </c>
      <c r="D11" s="2">
        <v>2</v>
      </c>
      <c r="F11" s="43" t="s">
        <v>273</v>
      </c>
      <c r="G11" s="2">
        <v>3</v>
      </c>
      <c r="H11" s="2">
        <v>3</v>
      </c>
      <c r="J11" s="43" t="s">
        <v>67</v>
      </c>
      <c r="K11" s="2">
        <v>44</v>
      </c>
      <c r="L11" s="2">
        <v>55</v>
      </c>
      <c r="N11" s="49" t="s">
        <v>82</v>
      </c>
      <c r="O11" s="2"/>
      <c r="P11" s="2"/>
    </row>
    <row r="12" spans="1:16">
      <c r="A12" s="43" t="s">
        <v>273</v>
      </c>
      <c r="B12" s="2"/>
      <c r="C12" s="2">
        <v>1</v>
      </c>
      <c r="D12" s="2">
        <v>1</v>
      </c>
      <c r="F12" s="43" t="s">
        <v>230</v>
      </c>
      <c r="G12" s="2">
        <v>20</v>
      </c>
      <c r="H12" s="2">
        <v>21</v>
      </c>
      <c r="J12" s="43" t="s">
        <v>260</v>
      </c>
      <c r="K12" s="2">
        <v>2</v>
      </c>
      <c r="L12" s="2">
        <v>2</v>
      </c>
      <c r="N12" s="49" t="s">
        <v>273</v>
      </c>
      <c r="O12" s="2"/>
      <c r="P12" s="2"/>
    </row>
    <row r="13" spans="1:16">
      <c r="A13" s="43" t="s">
        <v>230</v>
      </c>
      <c r="B13" s="2"/>
      <c r="C13" s="2">
        <v>7</v>
      </c>
      <c r="D13" s="2">
        <v>7</v>
      </c>
      <c r="J13" s="43" t="s">
        <v>267</v>
      </c>
      <c r="K13" s="2">
        <v>3</v>
      </c>
      <c r="L13" s="2">
        <v>3</v>
      </c>
      <c r="N13" s="43" t="s">
        <v>327</v>
      </c>
      <c r="O13" s="2">
        <v>71</v>
      </c>
      <c r="P13" s="2">
        <v>83</v>
      </c>
    </row>
    <row r="14" spans="1:16">
      <c r="J14" s="43" t="s">
        <v>87</v>
      </c>
      <c r="K14" s="2">
        <v>15</v>
      </c>
      <c r="L14" s="2">
        <v>15</v>
      </c>
      <c r="N14" s="49" t="s">
        <v>237</v>
      </c>
      <c r="O14" s="2">
        <v>1</v>
      </c>
      <c r="P14" s="2">
        <v>1</v>
      </c>
    </row>
    <row r="15" spans="1:16">
      <c r="J15" s="43" t="s">
        <v>299</v>
      </c>
      <c r="K15" s="2">
        <v>5</v>
      </c>
      <c r="L15" s="2">
        <v>5</v>
      </c>
      <c r="N15" s="49" t="s">
        <v>60</v>
      </c>
      <c r="O15" s="2">
        <v>5</v>
      </c>
      <c r="P15" s="2">
        <v>6</v>
      </c>
    </row>
    <row r="16" spans="1:16">
      <c r="J16" s="43" t="s">
        <v>305</v>
      </c>
      <c r="K16" s="2">
        <v>6</v>
      </c>
      <c r="L16" s="2">
        <v>6</v>
      </c>
      <c r="N16" s="49" t="s">
        <v>82</v>
      </c>
      <c r="O16" s="2">
        <v>59</v>
      </c>
      <c r="P16" s="2">
        <v>70</v>
      </c>
    </row>
    <row r="17" spans="10:16">
      <c r="J17" s="43" t="s">
        <v>277</v>
      </c>
      <c r="K17" s="2">
        <v>5</v>
      </c>
      <c r="L17" s="2">
        <v>5</v>
      </c>
      <c r="N17" s="49" t="s">
        <v>273</v>
      </c>
      <c r="O17" s="2">
        <v>6</v>
      </c>
      <c r="P17" s="2">
        <v>6</v>
      </c>
    </row>
    <row r="18" spans="10:16">
      <c r="J18" s="43" t="s">
        <v>285</v>
      </c>
      <c r="K18" s="2">
        <v>8</v>
      </c>
      <c r="L18" s="2">
        <v>8</v>
      </c>
      <c r="N18" s="43" t="s">
        <v>230</v>
      </c>
      <c r="O18" s="2">
        <v>71</v>
      </c>
      <c r="P18" s="2">
        <v>83</v>
      </c>
    </row>
    <row r="19" spans="10:16">
      <c r="J19" s="43" t="s">
        <v>291</v>
      </c>
      <c r="K19" s="2">
        <v>3</v>
      </c>
      <c r="L19" s="2">
        <v>3</v>
      </c>
    </row>
    <row r="20" spans="10:16">
      <c r="J20" s="43" t="s">
        <v>315</v>
      </c>
      <c r="K20" s="2"/>
      <c r="L20" s="2"/>
    </row>
    <row r="21" spans="10:16">
      <c r="J21" s="43" t="s">
        <v>230</v>
      </c>
      <c r="K21" s="2">
        <v>248</v>
      </c>
      <c r="L21" s="2">
        <v>285</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70199-CB72-4BF9-A9ED-436BFC92D600}">
  <sheetPr>
    <tabColor rgb="FFC00000"/>
  </sheetPr>
  <dimension ref="A1:AH38"/>
  <sheetViews>
    <sheetView zoomScaleNormal="100" workbookViewId="0">
      <selection activeCell="N12" sqref="N12"/>
    </sheetView>
  </sheetViews>
  <sheetFormatPr baseColWidth="10" defaultColWidth="11.42578125" defaultRowHeight="15.75" outlineLevelCol="2"/>
  <cols>
    <col min="1" max="1" width="19.5703125" style="8" customWidth="1"/>
    <col min="2" max="2" width="11.140625" style="4" customWidth="1"/>
    <col min="3" max="3" width="31" style="4" customWidth="1"/>
    <col min="4" max="4" width="8.85546875" style="5" customWidth="1"/>
    <col min="5" max="5" width="31" style="4" customWidth="1"/>
    <col min="6" max="6" width="18.140625" style="4" hidden="1" customWidth="1" outlineLevel="2"/>
    <col min="7" max="7" width="62.140625" style="4" hidden="1" customWidth="1" outlineLevel="2"/>
    <col min="8" max="8" width="11.42578125" style="4" customWidth="1" outlineLevel="1" collapsed="1"/>
    <col min="9" max="9" width="31.85546875" style="4" customWidth="1" outlineLevel="1"/>
    <col min="10" max="11" width="5.7109375" style="4" customWidth="1"/>
    <col min="12" max="13" width="11.42578125" style="4" hidden="1" customWidth="1" outlineLevel="1"/>
    <col min="14" max="15" width="32" style="4" hidden="1" customWidth="1" outlineLevel="1"/>
    <col min="16" max="16" width="5.7109375" style="4" customWidth="1" collapsed="1"/>
    <col min="17" max="17" width="5.7109375" style="4" customWidth="1"/>
    <col min="18" max="19" width="5.7109375" style="4" hidden="1" customWidth="1" outlineLevel="1"/>
    <col min="20" max="20" width="22.7109375" style="4" hidden="1" customWidth="1" outlineLevel="1"/>
    <col min="21" max="21" width="25.42578125" style="4" hidden="1" customWidth="1" outlineLevel="1"/>
    <col min="22" max="22" width="5.7109375" style="4" customWidth="1" collapsed="1"/>
    <col min="23" max="23" width="5.7109375" style="4" customWidth="1"/>
    <col min="24" max="25" width="5.7109375" style="4" hidden="1" customWidth="1" outlineLevel="1"/>
    <col min="26" max="26" width="22.7109375" style="4" hidden="1" customWidth="1" outlineLevel="1"/>
    <col min="27" max="27" width="25.42578125" style="4" hidden="1" customWidth="1" outlineLevel="1"/>
    <col min="28" max="28" width="5.7109375" style="4" customWidth="1" collapsed="1"/>
    <col min="29" max="29" width="5.7109375" style="4" customWidth="1"/>
    <col min="30" max="31" width="5.7109375" style="4" hidden="1" customWidth="1" outlineLevel="1"/>
    <col min="32" max="32" width="22.7109375" style="4" hidden="1" customWidth="1" outlineLevel="1"/>
    <col min="33" max="33" width="25.42578125" style="4" hidden="1" customWidth="1" outlineLevel="1"/>
    <col min="34" max="34" width="11.42578125" style="4" collapsed="1"/>
    <col min="35" max="16384" width="11.42578125" style="4"/>
  </cols>
  <sheetData>
    <row r="1" spans="1:33" ht="19.5" thickBot="1">
      <c r="A1" s="3" t="s">
        <v>499</v>
      </c>
    </row>
    <row r="2" spans="1:33" ht="16.5" thickBot="1">
      <c r="A2" s="76" t="str">
        <f>Haupttabelle[[#Headers],[Land]]</f>
        <v>Land</v>
      </c>
      <c r="B2" s="76" t="str">
        <f>Haupttabelle[[#Headers],[Projekt]]</f>
        <v>Projekt</v>
      </c>
      <c r="C2" s="76" t="str">
        <f>Haupttabelle[[#Headers],[Teilprojekt]]</f>
        <v>Teilprojekt</v>
      </c>
      <c r="D2" s="76" t="str">
        <f>Haupttabelle[[#Headers],[Name]]</f>
        <v>Name</v>
      </c>
      <c r="E2" s="76" t="str">
        <f>Haupttabelle[[#Headers],[Schwerpunkt]]</f>
        <v>Schwerpunkt</v>
      </c>
    </row>
    <row r="3" spans="1:33" ht="54" customHeight="1" thickBot="1">
      <c r="A3" s="7" t="str">
        <f>IF(Pivot!B3="(Alle)","",Pivot!B3)</f>
        <v/>
      </c>
      <c r="B3" s="7" t="str">
        <f>IF(Pivot!B4="(Alle)","",Pivot!B4)</f>
        <v/>
      </c>
      <c r="C3" s="7" t="str">
        <f>IF(Pivot!B5="(Alle)","",Pivot!B5)</f>
        <v/>
      </c>
      <c r="D3" s="48" t="str">
        <f>IF(Pivot!B2="(Alle)","",Pivot!B2)</f>
        <v/>
      </c>
      <c r="E3" s="7" t="s">
        <v>60</v>
      </c>
    </row>
    <row r="4" spans="1:33" ht="39" customHeight="1" thickBot="1"/>
    <row r="5" spans="1:33" ht="16.5" thickBot="1">
      <c r="J5" s="212" t="s">
        <v>179</v>
      </c>
      <c r="K5" s="213"/>
      <c r="L5" s="165" t="s">
        <v>180</v>
      </c>
      <c r="M5" s="166"/>
      <c r="N5" s="166"/>
      <c r="O5" s="167"/>
      <c r="P5" s="212" t="s">
        <v>179</v>
      </c>
      <c r="Q5" s="213"/>
      <c r="R5" s="165" t="s">
        <v>181</v>
      </c>
      <c r="S5" s="166"/>
      <c r="T5" s="166"/>
      <c r="U5" s="167"/>
      <c r="V5" s="212" t="s">
        <v>179</v>
      </c>
      <c r="W5" s="213"/>
      <c r="X5" s="165" t="s">
        <v>182</v>
      </c>
      <c r="Y5" s="166"/>
      <c r="Z5" s="166"/>
      <c r="AA5" s="167"/>
      <c r="AB5" s="212" t="s">
        <v>179</v>
      </c>
      <c r="AC5" s="213"/>
      <c r="AD5" s="165" t="s">
        <v>187</v>
      </c>
      <c r="AE5" s="166"/>
      <c r="AF5" s="166"/>
      <c r="AG5" s="167"/>
    </row>
    <row r="6" spans="1:33" ht="48" customHeight="1" thickBot="1">
      <c r="A6" s="50"/>
      <c r="B6" s="50" t="s">
        <v>372</v>
      </c>
      <c r="C6" s="50" t="s">
        <v>373</v>
      </c>
      <c r="D6" s="51" t="s">
        <v>374</v>
      </c>
      <c r="E6" s="50" t="s">
        <v>375</v>
      </c>
      <c r="F6" s="50"/>
      <c r="G6" s="50"/>
      <c r="H6" s="50" t="s">
        <v>376</v>
      </c>
      <c r="I6" s="51" t="s">
        <v>377</v>
      </c>
      <c r="J6" s="212" t="s">
        <v>378</v>
      </c>
      <c r="K6" s="213"/>
      <c r="L6" s="204" t="s">
        <v>379</v>
      </c>
      <c r="M6" s="205"/>
      <c r="N6" s="55" t="s">
        <v>380</v>
      </c>
      <c r="O6" s="56" t="s">
        <v>381</v>
      </c>
      <c r="P6" s="212" t="s">
        <v>382</v>
      </c>
      <c r="Q6" s="213"/>
      <c r="R6" s="204" t="s">
        <v>383</v>
      </c>
      <c r="S6" s="205"/>
      <c r="T6" s="55" t="s">
        <v>380</v>
      </c>
      <c r="U6" s="56" t="s">
        <v>381</v>
      </c>
      <c r="V6" s="212" t="s">
        <v>384</v>
      </c>
      <c r="W6" s="213"/>
      <c r="X6" s="204" t="s">
        <v>385</v>
      </c>
      <c r="Y6" s="205"/>
      <c r="Z6" s="55" t="s">
        <v>380</v>
      </c>
      <c r="AA6" s="56" t="s">
        <v>381</v>
      </c>
      <c r="AB6" s="212" t="s">
        <v>386</v>
      </c>
      <c r="AC6" s="213"/>
      <c r="AD6" s="204" t="s">
        <v>387</v>
      </c>
      <c r="AE6" s="205"/>
      <c r="AF6" s="55" t="s">
        <v>380</v>
      </c>
      <c r="AG6" s="56" t="s">
        <v>381</v>
      </c>
    </row>
    <row r="7" spans="1:33" ht="16.5" thickBot="1">
      <c r="A7" s="52"/>
      <c r="B7" s="53" t="s">
        <v>183</v>
      </c>
      <c r="C7" s="139"/>
      <c r="D7" s="54" t="s">
        <v>184</v>
      </c>
      <c r="E7" s="139"/>
      <c r="F7" s="144"/>
      <c r="G7" s="144"/>
      <c r="H7" s="139"/>
      <c r="I7" s="139"/>
      <c r="J7" s="172"/>
      <c r="K7" s="173"/>
      <c r="L7" s="178"/>
      <c r="M7" s="179"/>
      <c r="N7" s="141"/>
      <c r="O7" s="142"/>
      <c r="P7" s="172"/>
      <c r="Q7" s="173"/>
      <c r="R7" s="178"/>
      <c r="S7" s="179"/>
      <c r="T7" s="141"/>
      <c r="U7" s="142"/>
      <c r="V7" s="172"/>
      <c r="W7" s="173"/>
      <c r="X7" s="178"/>
      <c r="Y7" s="179"/>
      <c r="Z7" s="141"/>
      <c r="AA7" s="142"/>
      <c r="AB7" s="172"/>
      <c r="AC7" s="173"/>
      <c r="AD7" s="176"/>
      <c r="AE7" s="177"/>
      <c r="AF7" s="125"/>
      <c r="AG7" s="126"/>
    </row>
    <row r="8" spans="1:33" ht="16.5" thickBot="1">
      <c r="A8" s="52"/>
      <c r="B8" s="53" t="s">
        <v>185</v>
      </c>
      <c r="C8" s="139"/>
      <c r="D8" s="54" t="s">
        <v>186</v>
      </c>
      <c r="E8" s="139"/>
      <c r="F8" s="144"/>
      <c r="G8" s="144"/>
      <c r="H8" s="139"/>
      <c r="I8" s="139"/>
      <c r="J8" s="172"/>
      <c r="K8" s="173"/>
      <c r="L8" s="178"/>
      <c r="M8" s="179"/>
      <c r="N8" s="141"/>
      <c r="O8" s="142"/>
      <c r="P8" s="172"/>
      <c r="Q8" s="173"/>
      <c r="R8" s="178"/>
      <c r="S8" s="179"/>
      <c r="T8" s="141"/>
      <c r="U8" s="142"/>
      <c r="V8" s="172"/>
      <c r="W8" s="173"/>
      <c r="X8" s="178"/>
      <c r="Y8" s="179"/>
      <c r="Z8" s="141"/>
      <c r="AA8" s="142"/>
      <c r="AB8" s="172"/>
      <c r="AC8" s="173"/>
      <c r="AD8" s="176"/>
      <c r="AE8" s="177"/>
      <c r="AF8" s="125"/>
      <c r="AG8" s="126"/>
    </row>
    <row r="9" spans="1:33" ht="16.5" thickBot="1">
      <c r="J9" s="212" t="s">
        <v>179</v>
      </c>
      <c r="K9" s="213"/>
      <c r="L9" s="165" t="s">
        <v>180</v>
      </c>
      <c r="M9" s="166"/>
      <c r="N9" s="166"/>
      <c r="O9" s="167"/>
      <c r="P9" s="212" t="s">
        <v>179</v>
      </c>
      <c r="Q9" s="213"/>
      <c r="R9" s="165" t="s">
        <v>181</v>
      </c>
      <c r="S9" s="166"/>
      <c r="T9" s="166"/>
      <c r="U9" s="167"/>
      <c r="V9" s="212" t="s">
        <v>179</v>
      </c>
      <c r="W9" s="213"/>
      <c r="X9" s="165" t="s">
        <v>182</v>
      </c>
      <c r="Y9" s="166"/>
      <c r="Z9" s="166"/>
      <c r="AA9" s="167"/>
      <c r="AB9" s="212" t="s">
        <v>179</v>
      </c>
      <c r="AC9" s="213"/>
      <c r="AD9" s="165" t="s">
        <v>187</v>
      </c>
      <c r="AE9" s="166"/>
      <c r="AF9" s="166"/>
      <c r="AG9" s="167"/>
    </row>
    <row r="10" spans="1:33" ht="79.5" thickBot="1">
      <c r="A10" s="57" t="s">
        <v>388</v>
      </c>
      <c r="B10" s="50" t="s">
        <v>389</v>
      </c>
      <c r="C10" s="50" t="s">
        <v>390</v>
      </c>
      <c r="D10" s="51" t="s">
        <v>391</v>
      </c>
      <c r="E10" s="50" t="s">
        <v>375</v>
      </c>
      <c r="F10" s="50" t="s">
        <v>190</v>
      </c>
      <c r="G10" s="50" t="s">
        <v>191</v>
      </c>
      <c r="H10" s="50" t="s">
        <v>376</v>
      </c>
      <c r="I10" s="51" t="s">
        <v>377</v>
      </c>
      <c r="J10" s="212" t="s">
        <v>378</v>
      </c>
      <c r="K10" s="213"/>
      <c r="L10" s="214" t="s">
        <v>379</v>
      </c>
      <c r="M10" s="215"/>
      <c r="N10" s="55" t="s">
        <v>380</v>
      </c>
      <c r="O10" s="56" t="s">
        <v>381</v>
      </c>
      <c r="P10" s="212" t="s">
        <v>382</v>
      </c>
      <c r="Q10" s="213"/>
      <c r="R10" s="214" t="s">
        <v>383</v>
      </c>
      <c r="S10" s="215"/>
      <c r="T10" s="55" t="s">
        <v>380</v>
      </c>
      <c r="U10" s="56" t="s">
        <v>381</v>
      </c>
      <c r="V10" s="212" t="s">
        <v>384</v>
      </c>
      <c r="W10" s="213"/>
      <c r="X10" s="214" t="s">
        <v>385</v>
      </c>
      <c r="Y10" s="215"/>
      <c r="Z10" s="55" t="s">
        <v>380</v>
      </c>
      <c r="AA10" s="56" t="s">
        <v>381</v>
      </c>
      <c r="AB10" s="212" t="s">
        <v>386</v>
      </c>
      <c r="AC10" s="213"/>
      <c r="AD10" s="214" t="s">
        <v>387</v>
      </c>
      <c r="AE10" s="215"/>
      <c r="AF10" s="55" t="s">
        <v>380</v>
      </c>
      <c r="AG10" s="56" t="s">
        <v>381</v>
      </c>
    </row>
    <row r="11" spans="1:33" ht="45.75" customHeight="1" thickBot="1">
      <c r="A11" s="216" t="s">
        <v>469</v>
      </c>
      <c r="B11" s="58" t="s">
        <v>188</v>
      </c>
      <c r="C11" s="217" t="s">
        <v>470</v>
      </c>
      <c r="D11" s="59" t="s">
        <v>189</v>
      </c>
      <c r="E11" s="58" t="s">
        <v>394</v>
      </c>
      <c r="F11" s="60">
        <v>0.1</v>
      </c>
      <c r="G11" s="61" t="s">
        <v>440</v>
      </c>
      <c r="H11" s="139"/>
      <c r="I11" s="139"/>
      <c r="J11" s="172"/>
      <c r="K11" s="173"/>
      <c r="L11" s="202">
        <f>DSUM(Haupttabelle[#All],Main!Z1,A2:E3)/DCOUNT(Haupttabelle[#All],Main!Z1,A2:E3)/100</f>
        <v>0.1</v>
      </c>
      <c r="M11" s="203"/>
      <c r="N11" s="147" t="str">
        <f>CONCATENATE("Moyenne de ",DCOUNT(Haupttabelle[#All],Main!Z1,A2:E3)," valeur(s)")</f>
        <v>Moyenne de 1 valeur(s)</v>
      </c>
      <c r="O11" s="148"/>
      <c r="P11" s="172"/>
      <c r="Q11" s="173"/>
      <c r="R11" s="178"/>
      <c r="S11" s="179"/>
      <c r="T11" s="141"/>
      <c r="U11" s="142"/>
      <c r="V11" s="172"/>
      <c r="W11" s="173"/>
      <c r="X11" s="178"/>
      <c r="Y11" s="179"/>
      <c r="Z11" s="141"/>
      <c r="AA11" s="142"/>
      <c r="AB11" s="172"/>
      <c r="AC11" s="173"/>
      <c r="AD11" s="176"/>
      <c r="AE11" s="177"/>
      <c r="AF11" s="125"/>
      <c r="AG11" s="126"/>
    </row>
    <row r="12" spans="1:33" ht="45.75" thickBot="1">
      <c r="A12" s="216"/>
      <c r="B12" s="206"/>
      <c r="C12" s="217"/>
      <c r="D12" s="59" t="s">
        <v>192</v>
      </c>
      <c r="E12" s="58" t="s">
        <v>395</v>
      </c>
      <c r="F12" s="62" t="s">
        <v>441</v>
      </c>
      <c r="G12" s="58" t="s">
        <v>442</v>
      </c>
      <c r="H12" s="139"/>
      <c r="I12" s="139"/>
      <c r="J12" s="172"/>
      <c r="K12" s="173"/>
      <c r="L12" s="186">
        <f>GETPIVOTDATA("group_I_10b_Personelle_Abhaeng/Verantwortung_uebernommen",Pivot!$A$7,"Schwerpunkt","medizinische_Arbeit_und_Prävention")</f>
        <v>2</v>
      </c>
      <c r="M12" s="187"/>
      <c r="N12" s="147" t="s">
        <v>540</v>
      </c>
      <c r="O12" s="148"/>
      <c r="P12" s="172"/>
      <c r="Q12" s="173"/>
      <c r="R12" s="178"/>
      <c r="S12" s="179"/>
      <c r="T12" s="141"/>
      <c r="U12" s="142"/>
      <c r="V12" s="172"/>
      <c r="W12" s="173"/>
      <c r="X12" s="178"/>
      <c r="Y12" s="179"/>
      <c r="Z12" s="141"/>
      <c r="AA12" s="142"/>
      <c r="AB12" s="172"/>
      <c r="AC12" s="173"/>
      <c r="AD12" s="176"/>
      <c r="AE12" s="177"/>
      <c r="AF12" s="125"/>
      <c r="AG12" s="126"/>
    </row>
    <row r="13" spans="1:33" ht="45.75" customHeight="1" thickBot="1">
      <c r="A13" s="216"/>
      <c r="B13" s="206"/>
      <c r="C13" s="217"/>
      <c r="D13" s="59" t="s">
        <v>193</v>
      </c>
      <c r="E13" s="58" t="s">
        <v>396</v>
      </c>
      <c r="F13" s="62">
        <v>2</v>
      </c>
      <c r="G13" s="58" t="s">
        <v>471</v>
      </c>
      <c r="H13" s="139"/>
      <c r="I13" s="139"/>
      <c r="J13" s="172"/>
      <c r="K13" s="173"/>
      <c r="L13" s="186">
        <f>DCOUNTA(group_I_10c_Neue_Angebote[#All],I_10c!F1,A2:E3)</f>
        <v>2</v>
      </c>
      <c r="M13" s="187"/>
      <c r="N13" s="147"/>
      <c r="O13" s="148"/>
      <c r="P13" s="172"/>
      <c r="Q13" s="173"/>
      <c r="R13" s="178"/>
      <c r="S13" s="179"/>
      <c r="T13" s="141"/>
      <c r="U13" s="142"/>
      <c r="V13" s="172"/>
      <c r="W13" s="173"/>
      <c r="X13" s="178"/>
      <c r="Y13" s="179"/>
      <c r="Z13" s="141"/>
      <c r="AA13" s="142"/>
      <c r="AB13" s="172"/>
      <c r="AC13" s="173"/>
      <c r="AD13" s="176"/>
      <c r="AE13" s="177"/>
      <c r="AF13" s="125"/>
      <c r="AG13" s="126"/>
    </row>
    <row r="14" spans="1:33" ht="45.75" thickBot="1">
      <c r="A14" s="207" t="s">
        <v>472</v>
      </c>
      <c r="B14" s="63" t="s">
        <v>194</v>
      </c>
      <c r="C14" s="63" t="s">
        <v>473</v>
      </c>
      <c r="D14" s="64" t="s">
        <v>342</v>
      </c>
      <c r="E14" s="63" t="s">
        <v>474</v>
      </c>
      <c r="F14" s="65">
        <v>2</v>
      </c>
      <c r="G14" s="63" t="s">
        <v>475</v>
      </c>
      <c r="H14" s="139"/>
      <c r="I14" s="146"/>
      <c r="J14" s="172"/>
      <c r="K14" s="173"/>
      <c r="L14" s="25">
        <f>GETPIVOTDATA("Summe von group_I_20_Verantw_uebernommen/Anzahl_Jungen_Maenner_I20",Pivot!$F$7,"Schwerpunkt","medizinische_Arbeit_und_Prävention")</f>
        <v>7</v>
      </c>
      <c r="M14" s="26">
        <f>GETPIVOTDATA("Summe von group_I_20_Verantw_uebernommen/Anzahl_Maedchen_Frauen_I20",Pivot!$F$7,"Schwerpunkt","medizinische_Arbeit_und_Prävention")</f>
        <v>8</v>
      </c>
      <c r="N14" s="147"/>
      <c r="O14" s="148"/>
      <c r="P14" s="172"/>
      <c r="Q14" s="173"/>
      <c r="R14" s="178"/>
      <c r="S14" s="179"/>
      <c r="T14" s="141"/>
      <c r="U14" s="142"/>
      <c r="V14" s="172"/>
      <c r="W14" s="173"/>
      <c r="X14" s="178"/>
      <c r="Y14" s="179"/>
      <c r="Z14" s="141"/>
      <c r="AA14" s="142"/>
      <c r="AB14" s="172"/>
      <c r="AC14" s="173"/>
      <c r="AD14" s="176"/>
      <c r="AE14" s="177"/>
      <c r="AF14" s="125"/>
      <c r="AG14" s="126"/>
    </row>
    <row r="15" spans="1:33" ht="45.75" thickBot="1">
      <c r="A15" s="207"/>
      <c r="B15" s="63" t="s">
        <v>196</v>
      </c>
      <c r="C15" s="63" t="s">
        <v>476</v>
      </c>
      <c r="D15" s="64" t="s">
        <v>343</v>
      </c>
      <c r="E15" s="63" t="s">
        <v>401</v>
      </c>
      <c r="F15" s="65">
        <v>5</v>
      </c>
      <c r="G15" s="63" t="s">
        <v>477</v>
      </c>
      <c r="H15" s="139"/>
      <c r="I15" s="146"/>
      <c r="J15" s="172"/>
      <c r="K15" s="173"/>
      <c r="L15" s="186">
        <f>DCOUNTA(Haupttabelle[#All],Main!AG1,A2:E3)</f>
        <v>3</v>
      </c>
      <c r="M15" s="187"/>
      <c r="N15" s="147"/>
      <c r="O15" s="148"/>
      <c r="P15" s="172"/>
      <c r="Q15" s="173"/>
      <c r="R15" s="178"/>
      <c r="S15" s="179"/>
      <c r="T15" s="141"/>
      <c r="U15" s="142"/>
      <c r="V15" s="172"/>
      <c r="W15" s="173"/>
      <c r="X15" s="178"/>
      <c r="Y15" s="179"/>
      <c r="Z15" s="141"/>
      <c r="AA15" s="142"/>
      <c r="AB15" s="172"/>
      <c r="AC15" s="173"/>
      <c r="AD15" s="176"/>
      <c r="AE15" s="177"/>
      <c r="AF15" s="125"/>
      <c r="AG15" s="126"/>
    </row>
    <row r="16" spans="1:33" ht="60.75" thickBot="1">
      <c r="A16" s="66" t="s">
        <v>478</v>
      </c>
      <c r="B16" s="67" t="s">
        <v>198</v>
      </c>
      <c r="C16" s="67" t="s">
        <v>479</v>
      </c>
      <c r="D16" s="68" t="s">
        <v>199</v>
      </c>
      <c r="E16" s="67" t="s">
        <v>404</v>
      </c>
      <c r="F16" s="69" t="s">
        <v>441</v>
      </c>
      <c r="G16" s="67" t="s">
        <v>480</v>
      </c>
      <c r="H16" s="139"/>
      <c r="I16" s="146"/>
      <c r="J16" s="172"/>
      <c r="K16" s="173"/>
      <c r="L16" s="186">
        <f>DCOUNTA(Haupttabelle[#All],Main!AJ1,A2:E3)</f>
        <v>1</v>
      </c>
      <c r="M16" s="187"/>
      <c r="N16" s="147"/>
      <c r="O16" s="148"/>
      <c r="P16" s="172"/>
      <c r="Q16" s="173"/>
      <c r="R16" s="178"/>
      <c r="S16" s="179"/>
      <c r="T16" s="141"/>
      <c r="U16" s="142"/>
      <c r="V16" s="172"/>
      <c r="W16" s="173"/>
      <c r="X16" s="178"/>
      <c r="Y16" s="179"/>
      <c r="Z16" s="141"/>
      <c r="AA16" s="142"/>
      <c r="AB16" s="172"/>
      <c r="AC16" s="173"/>
      <c r="AD16" s="176"/>
      <c r="AE16" s="177"/>
      <c r="AF16" s="125"/>
      <c r="AG16" s="126"/>
    </row>
    <row r="17" spans="1:34" ht="16.5" thickBot="1">
      <c r="A17" s="31"/>
      <c r="B17" s="32"/>
      <c r="C17" s="32"/>
      <c r="D17" s="33"/>
      <c r="E17" s="32"/>
      <c r="F17" s="32"/>
      <c r="G17" s="32"/>
    </row>
    <row r="18" spans="1:34" ht="79.5" thickBot="1">
      <c r="A18" s="57" t="s">
        <v>481</v>
      </c>
      <c r="B18" s="50" t="s">
        <v>482</v>
      </c>
      <c r="C18" s="50" t="s">
        <v>483</v>
      </c>
      <c r="D18" s="51" t="s">
        <v>391</v>
      </c>
      <c r="E18" s="50" t="s">
        <v>375</v>
      </c>
      <c r="F18" s="50" t="s">
        <v>438</v>
      </c>
      <c r="G18" s="50" t="s">
        <v>439</v>
      </c>
      <c r="H18" s="50" t="s">
        <v>376</v>
      </c>
      <c r="I18" s="51" t="s">
        <v>377</v>
      </c>
      <c r="J18" s="212" t="s">
        <v>378</v>
      </c>
      <c r="K18" s="213"/>
      <c r="L18" s="214" t="s">
        <v>379</v>
      </c>
      <c r="M18" s="215"/>
      <c r="N18" s="55" t="s">
        <v>380</v>
      </c>
      <c r="O18" s="56" t="s">
        <v>381</v>
      </c>
      <c r="P18" s="212" t="s">
        <v>382</v>
      </c>
      <c r="Q18" s="213"/>
      <c r="R18" s="214" t="s">
        <v>383</v>
      </c>
      <c r="S18" s="215"/>
      <c r="T18" s="55" t="s">
        <v>380</v>
      </c>
      <c r="U18" s="56" t="s">
        <v>381</v>
      </c>
      <c r="V18" s="212" t="s">
        <v>384</v>
      </c>
      <c r="W18" s="213"/>
      <c r="X18" s="214" t="s">
        <v>385</v>
      </c>
      <c r="Y18" s="215"/>
      <c r="Z18" s="55" t="s">
        <v>380</v>
      </c>
      <c r="AA18" s="56" t="s">
        <v>381</v>
      </c>
      <c r="AB18" s="212" t="s">
        <v>386</v>
      </c>
      <c r="AC18" s="213"/>
      <c r="AD18" s="214" t="s">
        <v>387</v>
      </c>
      <c r="AE18" s="215"/>
      <c r="AF18" s="55" t="s">
        <v>380</v>
      </c>
      <c r="AG18" s="56" t="s">
        <v>381</v>
      </c>
    </row>
    <row r="19" spans="1:34" ht="16.5" thickBot="1">
      <c r="A19" s="50"/>
      <c r="B19" s="50"/>
      <c r="C19" s="50"/>
      <c r="D19" s="51"/>
      <c r="E19" s="50"/>
      <c r="F19" s="50"/>
      <c r="G19" s="50"/>
      <c r="H19" s="50"/>
      <c r="I19" s="51"/>
      <c r="J19" s="72" t="s">
        <v>468</v>
      </c>
      <c r="K19" s="72" t="s">
        <v>126</v>
      </c>
      <c r="L19" s="73" t="s">
        <v>468</v>
      </c>
      <c r="M19" s="74" t="s">
        <v>126</v>
      </c>
      <c r="N19" s="74"/>
      <c r="O19" s="75"/>
      <c r="P19" s="72" t="s">
        <v>468</v>
      </c>
      <c r="Q19" s="72" t="s">
        <v>126</v>
      </c>
      <c r="R19" s="73" t="s">
        <v>468</v>
      </c>
      <c r="S19" s="74" t="s">
        <v>126</v>
      </c>
      <c r="T19" s="74"/>
      <c r="U19" s="75"/>
      <c r="V19" s="72" t="s">
        <v>468</v>
      </c>
      <c r="W19" s="72" t="s">
        <v>126</v>
      </c>
      <c r="X19" s="73" t="s">
        <v>468</v>
      </c>
      <c r="Y19" s="74" t="s">
        <v>126</v>
      </c>
      <c r="Z19" s="74"/>
      <c r="AA19" s="75"/>
      <c r="AB19" s="72" t="s">
        <v>468</v>
      </c>
      <c r="AC19" s="72" t="s">
        <v>126</v>
      </c>
      <c r="AD19" s="73" t="s">
        <v>468</v>
      </c>
      <c r="AE19" s="74" t="s">
        <v>126</v>
      </c>
      <c r="AF19" s="74"/>
      <c r="AG19" s="75"/>
    </row>
    <row r="20" spans="1:34" ht="45" customHeight="1" thickBot="1">
      <c r="A20" s="52" t="s">
        <v>405</v>
      </c>
      <c r="B20" s="53" t="s">
        <v>200</v>
      </c>
      <c r="C20" s="53" t="s">
        <v>406</v>
      </c>
      <c r="D20" s="54" t="s">
        <v>201</v>
      </c>
      <c r="E20" s="53" t="s">
        <v>407</v>
      </c>
      <c r="F20" s="70"/>
      <c r="G20" s="53" t="s">
        <v>447</v>
      </c>
      <c r="H20" s="146"/>
      <c r="I20" s="139"/>
      <c r="J20" s="172"/>
      <c r="K20" s="173"/>
      <c r="L20" s="194">
        <f>DCOUNTA(group_I_40_Partnerorg[#All],I_40!F1,A2:E3)</f>
        <v>2</v>
      </c>
      <c r="M20" s="195"/>
      <c r="N20" s="149"/>
      <c r="O20" s="149"/>
      <c r="P20" s="172"/>
      <c r="Q20" s="173"/>
      <c r="R20" s="196"/>
      <c r="S20" s="197"/>
      <c r="T20" s="150"/>
      <c r="U20" s="151"/>
      <c r="V20" s="172"/>
      <c r="W20" s="173"/>
      <c r="X20" s="196"/>
      <c r="Y20" s="197"/>
      <c r="Z20" s="150"/>
      <c r="AA20" s="151"/>
      <c r="AB20" s="172"/>
      <c r="AC20" s="173"/>
      <c r="AD20" s="198"/>
      <c r="AE20" s="199"/>
      <c r="AF20" s="127"/>
      <c r="AG20" s="128"/>
    </row>
    <row r="21" spans="1:34" ht="90.75" thickBot="1">
      <c r="A21" s="52" t="s">
        <v>408</v>
      </c>
      <c r="B21" s="53" t="s">
        <v>202</v>
      </c>
      <c r="C21" s="53" t="s">
        <v>409</v>
      </c>
      <c r="D21" s="54" t="s">
        <v>203</v>
      </c>
      <c r="E21" s="53" t="s">
        <v>410</v>
      </c>
      <c r="F21" s="70" t="s">
        <v>448</v>
      </c>
      <c r="G21" s="53" t="s">
        <v>449</v>
      </c>
      <c r="H21" s="146"/>
      <c r="I21" s="139"/>
      <c r="J21" s="146"/>
      <c r="K21" s="146"/>
      <c r="L21" s="40">
        <f>DSUM(group_I_41_Einsatzleistende[#All],group_I_41_Einsatzleistende[[#Headers],[Anzahl M]],A2:E3)</f>
        <v>1</v>
      </c>
      <c r="M21" s="41">
        <f>DSUM(group_I_41_Einsatzleistende[#All],group_I_41_Einsatzleistende[[#Headers],[Anzahl F]],A2:E3)</f>
        <v>1</v>
      </c>
      <c r="N21" s="149"/>
      <c r="O21" s="149"/>
      <c r="P21" s="146"/>
      <c r="Q21" s="146"/>
      <c r="R21" s="152"/>
      <c r="S21" s="150"/>
      <c r="T21" s="150"/>
      <c r="U21" s="151"/>
      <c r="V21" s="146"/>
      <c r="W21" s="146"/>
      <c r="X21" s="152"/>
      <c r="Y21" s="150"/>
      <c r="Z21" s="150"/>
      <c r="AA21" s="151"/>
      <c r="AB21" s="146"/>
      <c r="AC21" s="146"/>
      <c r="AD21" s="129"/>
      <c r="AE21" s="127"/>
      <c r="AF21" s="127"/>
      <c r="AG21" s="128"/>
    </row>
    <row r="22" spans="1:34" ht="57.75" customHeight="1" thickBot="1">
      <c r="A22" s="211" t="s">
        <v>411</v>
      </c>
      <c r="B22" s="58" t="s">
        <v>204</v>
      </c>
      <c r="C22" s="58" t="s">
        <v>484</v>
      </c>
      <c r="D22" s="58" t="s">
        <v>205</v>
      </c>
      <c r="E22" s="58" t="s">
        <v>413</v>
      </c>
      <c r="F22" s="62">
        <v>2</v>
      </c>
      <c r="G22" s="58" t="s">
        <v>450</v>
      </c>
      <c r="H22" s="139"/>
      <c r="I22" s="139"/>
      <c r="J22" s="172"/>
      <c r="K22" s="173"/>
      <c r="L22" s="186">
        <f>DCOUNTA(group_I_50_strukt_Veraend[#All],I_50!F1,A2:E3)</f>
        <v>3</v>
      </c>
      <c r="M22" s="187"/>
      <c r="N22" s="148"/>
      <c r="O22" s="148"/>
      <c r="P22" s="172"/>
      <c r="Q22" s="173"/>
      <c r="R22" s="178"/>
      <c r="S22" s="179"/>
      <c r="T22" s="141"/>
      <c r="U22" s="142"/>
      <c r="V22" s="172"/>
      <c r="W22" s="173"/>
      <c r="X22" s="178"/>
      <c r="Y22" s="179"/>
      <c r="Z22" s="141"/>
      <c r="AA22" s="142"/>
      <c r="AB22" s="172"/>
      <c r="AC22" s="173"/>
      <c r="AD22" s="176"/>
      <c r="AE22" s="177"/>
      <c r="AF22" s="125"/>
      <c r="AG22" s="126"/>
    </row>
    <row r="23" spans="1:34" ht="45.75" customHeight="1" thickBot="1">
      <c r="A23" s="211"/>
      <c r="B23" s="206" t="s">
        <v>206</v>
      </c>
      <c r="C23" s="206" t="s">
        <v>414</v>
      </c>
      <c r="D23" s="58" t="s">
        <v>207</v>
      </c>
      <c r="E23" s="58" t="s">
        <v>415</v>
      </c>
      <c r="F23" s="62">
        <v>1</v>
      </c>
      <c r="G23" s="58" t="s">
        <v>451</v>
      </c>
      <c r="H23" s="139"/>
      <c r="I23" s="139"/>
      <c r="J23" s="172"/>
      <c r="K23" s="173"/>
      <c r="L23" s="186">
        <f>DCOUNTA(group_I_51_WB_Admin[#All],I_51!F1,A2:E3)</f>
        <v>2</v>
      </c>
      <c r="M23" s="187"/>
      <c r="N23" s="148" t="str">
        <f>CONCATENATE("Nombre de jours: ",DSUM(group_I_51_WB_Admin[#All],group_I_51_WB_Admin[[#Headers],[group_I_51_WB_Admin/Anzahl_Tage_WB_Coaching_I51]],A2:E3))</f>
        <v>Nombre de jours: 9</v>
      </c>
      <c r="O23" s="148"/>
      <c r="P23" s="172"/>
      <c r="Q23" s="173"/>
      <c r="R23" s="178"/>
      <c r="S23" s="179"/>
      <c r="T23" s="141"/>
      <c r="U23" s="142"/>
      <c r="V23" s="172"/>
      <c r="W23" s="173"/>
      <c r="X23" s="178"/>
      <c r="Y23" s="179"/>
      <c r="Z23" s="141"/>
      <c r="AA23" s="142"/>
      <c r="AB23" s="172"/>
      <c r="AC23" s="173"/>
      <c r="AD23" s="176"/>
      <c r="AE23" s="177"/>
      <c r="AF23" s="125"/>
      <c r="AG23" s="126"/>
    </row>
    <row r="24" spans="1:34" ht="60.75" thickBot="1">
      <c r="A24" s="211"/>
      <c r="B24" s="206"/>
      <c r="C24" s="206"/>
      <c r="D24" s="58" t="s">
        <v>208</v>
      </c>
      <c r="E24" s="58" t="s">
        <v>416</v>
      </c>
      <c r="F24" s="62" t="s">
        <v>452</v>
      </c>
      <c r="G24" s="58" t="s">
        <v>453</v>
      </c>
      <c r="H24" s="139"/>
      <c r="I24" s="139"/>
      <c r="J24" s="139"/>
      <c r="K24" s="139"/>
      <c r="L24" s="25">
        <f>DSUM(group_I_51_WB_Admin[#All],group_I_51_WB_Admin[[#Headers],[group_I_51_WB_Admin/I_51b_Anzahl_beg_Maenner]],A2:E3)</f>
        <v>1</v>
      </c>
      <c r="M24" s="26">
        <f>DSUM(group_I_51_WB_Admin[#All],group_I_51_WB_Admin[[#Headers],[group_I_51_WB_Admin/I_51b_Anzahl_beg_Frauen]],A2:E3)</f>
        <v>2</v>
      </c>
      <c r="N24" s="153"/>
      <c r="O24" s="153"/>
      <c r="P24" s="139"/>
      <c r="Q24" s="139"/>
      <c r="R24" s="154"/>
      <c r="S24" s="155"/>
      <c r="T24" s="155"/>
      <c r="U24" s="156"/>
      <c r="V24" s="139"/>
      <c r="W24" s="139"/>
      <c r="X24" s="154"/>
      <c r="Y24" s="155"/>
      <c r="Z24" s="155"/>
      <c r="AA24" s="156"/>
      <c r="AB24" s="139"/>
      <c r="AC24" s="139"/>
      <c r="AD24" s="130"/>
      <c r="AE24" s="131"/>
      <c r="AF24" s="131"/>
      <c r="AG24" s="132"/>
    </row>
    <row r="25" spans="1:34" ht="45.75" thickBot="1">
      <c r="A25" s="211"/>
      <c r="B25" s="206" t="s">
        <v>209</v>
      </c>
      <c r="C25" s="206" t="s">
        <v>485</v>
      </c>
      <c r="D25" s="58" t="s">
        <v>210</v>
      </c>
      <c r="E25" s="58" t="s">
        <v>418</v>
      </c>
      <c r="F25" s="62">
        <v>1</v>
      </c>
      <c r="G25" s="58" t="s">
        <v>454</v>
      </c>
      <c r="H25" s="139"/>
      <c r="I25" s="139"/>
      <c r="J25" s="172"/>
      <c r="K25" s="173"/>
      <c r="L25" s="186">
        <f>DCOUNTA(group_I_52_WB_Fachpers[#All],I_52!F1,A2:E3)</f>
        <v>1</v>
      </c>
      <c r="M25" s="187"/>
      <c r="N25" s="147" t="str">
        <f>CONCATENATE("Nombre de jours: ",DSUM(group_I_52_WB_Fachpers[#All],group_I_52_WB_Fachpers[[#Headers],[group_I_52_WB_Fachpers/Anzahl_Tage_WB_Coaching_I52]],A2:E3))</f>
        <v>Nombre de jours: 33</v>
      </c>
      <c r="O25" s="148"/>
      <c r="P25" s="172"/>
      <c r="Q25" s="173"/>
      <c r="R25" s="178"/>
      <c r="S25" s="179"/>
      <c r="T25" s="141"/>
      <c r="U25" s="142"/>
      <c r="V25" s="172"/>
      <c r="W25" s="173"/>
      <c r="X25" s="178"/>
      <c r="Y25" s="179"/>
      <c r="Z25" s="141"/>
      <c r="AA25" s="142"/>
      <c r="AB25" s="172"/>
      <c r="AC25" s="173"/>
      <c r="AD25" s="176"/>
      <c r="AE25" s="177"/>
      <c r="AF25" s="125"/>
      <c r="AG25" s="126"/>
    </row>
    <row r="26" spans="1:34" ht="60.75" thickBot="1">
      <c r="A26" s="211"/>
      <c r="B26" s="206"/>
      <c r="C26" s="206"/>
      <c r="D26" s="58" t="s">
        <v>211</v>
      </c>
      <c r="E26" s="58" t="s">
        <v>486</v>
      </c>
      <c r="F26" s="62" t="s">
        <v>455</v>
      </c>
      <c r="G26" s="58" t="s">
        <v>453</v>
      </c>
      <c r="H26" s="139"/>
      <c r="I26" s="139"/>
      <c r="J26" s="139"/>
      <c r="K26" s="139"/>
      <c r="L26" s="25">
        <f>DSUM(group_I_52_WB_Fachpers[#All],group_I_52_WB_Fachpers[[#Headers],[group_I_52_WB_Fachpers/I_52b_Anzahl_beg_Maenner]],A2:E3)</f>
        <v>4</v>
      </c>
      <c r="M26" s="26">
        <f>DSUM(group_I_52_WB_Fachpers[#All],group_I_52_WB_Fachpers[[#Headers],[group_I_52_WB_Fachpers/I_52b_Anzahl_beg_Frauen]],A2:E3)</f>
        <v>18</v>
      </c>
      <c r="N26" s="157"/>
      <c r="O26" s="153"/>
      <c r="P26" s="139"/>
      <c r="Q26" s="139"/>
      <c r="R26" s="154"/>
      <c r="S26" s="155"/>
      <c r="T26" s="155"/>
      <c r="U26" s="156"/>
      <c r="V26" s="139"/>
      <c r="W26" s="139"/>
      <c r="X26" s="154"/>
      <c r="Y26" s="155"/>
      <c r="Z26" s="155"/>
      <c r="AA26" s="156"/>
      <c r="AB26" s="139"/>
      <c r="AC26" s="139"/>
      <c r="AD26" s="130"/>
      <c r="AE26" s="131"/>
      <c r="AF26" s="131"/>
      <c r="AG26" s="132"/>
    </row>
    <row r="27" spans="1:34" ht="31.5" customHeight="1" thickBot="1">
      <c r="A27" s="211"/>
      <c r="B27" s="206" t="s">
        <v>212</v>
      </c>
      <c r="C27" s="206" t="s">
        <v>420</v>
      </c>
      <c r="D27" s="58" t="s">
        <v>213</v>
      </c>
      <c r="E27" s="58" t="s">
        <v>487</v>
      </c>
      <c r="F27" s="62">
        <v>3</v>
      </c>
      <c r="G27" s="58" t="s">
        <v>456</v>
      </c>
      <c r="H27" s="139"/>
      <c r="I27" s="139"/>
      <c r="J27" s="172"/>
      <c r="K27" s="173"/>
      <c r="L27" s="186">
        <f>DCOUNTA(group_I_53_Infrastruktur[#All],I_53!F1,A2:E3)</f>
        <v>2</v>
      </c>
      <c r="M27" s="187"/>
      <c r="N27" s="147"/>
      <c r="O27" s="148"/>
      <c r="P27" s="172"/>
      <c r="Q27" s="173"/>
      <c r="R27" s="178"/>
      <c r="S27" s="179"/>
      <c r="T27" s="141"/>
      <c r="U27" s="142"/>
      <c r="V27" s="172"/>
      <c r="W27" s="173"/>
      <c r="X27" s="178"/>
      <c r="Y27" s="179"/>
      <c r="Z27" s="141"/>
      <c r="AA27" s="142"/>
      <c r="AB27" s="172"/>
      <c r="AC27" s="173"/>
      <c r="AD27" s="176"/>
      <c r="AE27" s="177"/>
      <c r="AF27" s="125"/>
      <c r="AG27" s="126"/>
    </row>
    <row r="28" spans="1:34" ht="21" customHeight="1" thickBot="1">
      <c r="A28" s="211"/>
      <c r="B28" s="206"/>
      <c r="C28" s="206"/>
      <c r="D28" s="58" t="s">
        <v>214</v>
      </c>
      <c r="E28" s="58" t="s">
        <v>422</v>
      </c>
      <c r="F28" s="62" t="s">
        <v>217</v>
      </c>
      <c r="G28" s="58" t="s">
        <v>457</v>
      </c>
      <c r="H28" s="139"/>
      <c r="I28" s="139"/>
      <c r="J28" s="172"/>
      <c r="K28" s="173"/>
      <c r="L28" s="188">
        <f>DSUM(group_I_53_Infrastruktur[#All],I_53!G1,A2:E3)</f>
        <v>4345</v>
      </c>
      <c r="M28" s="189"/>
      <c r="N28" s="147"/>
      <c r="O28" s="148"/>
      <c r="P28" s="172"/>
      <c r="Q28" s="173"/>
      <c r="R28" s="178"/>
      <c r="S28" s="179"/>
      <c r="T28" s="141"/>
      <c r="U28" s="142"/>
      <c r="V28" s="172"/>
      <c r="W28" s="173"/>
      <c r="X28" s="178"/>
      <c r="Y28" s="179"/>
      <c r="Z28" s="141"/>
      <c r="AA28" s="142"/>
      <c r="AB28" s="172"/>
      <c r="AC28" s="173"/>
      <c r="AD28" s="176"/>
      <c r="AE28" s="177"/>
      <c r="AF28" s="125"/>
      <c r="AG28" s="126"/>
    </row>
    <row r="29" spans="1:34" ht="60.75" thickBot="1">
      <c r="A29" s="211"/>
      <c r="B29" s="58" t="s">
        <v>215</v>
      </c>
      <c r="C29" s="58" t="s">
        <v>488</v>
      </c>
      <c r="D29" s="58" t="s">
        <v>216</v>
      </c>
      <c r="E29" s="58" t="s">
        <v>489</v>
      </c>
      <c r="F29" s="62">
        <v>3</v>
      </c>
      <c r="G29" s="58" t="s">
        <v>490</v>
      </c>
      <c r="H29" s="139"/>
      <c r="I29" s="139"/>
      <c r="J29" s="172"/>
      <c r="K29" s="173"/>
      <c r="L29" s="186">
        <f>DCOUNTA(group_I_54_Hilfsmittel[#All],I_54!F1,A2:E3)</f>
        <v>2</v>
      </c>
      <c r="M29" s="187"/>
      <c r="N29" s="147"/>
      <c r="O29" s="148"/>
      <c r="P29" s="172"/>
      <c r="Q29" s="173"/>
      <c r="R29" s="178"/>
      <c r="S29" s="179"/>
      <c r="T29" s="141"/>
      <c r="U29" s="142"/>
      <c r="V29" s="172"/>
      <c r="W29" s="173"/>
      <c r="X29" s="178"/>
      <c r="Y29" s="179"/>
      <c r="Z29" s="141"/>
      <c r="AA29" s="142"/>
      <c r="AB29" s="172"/>
      <c r="AC29" s="173"/>
      <c r="AD29" s="176"/>
      <c r="AE29" s="177"/>
      <c r="AF29" s="125"/>
      <c r="AG29" s="126"/>
      <c r="AH29" s="8"/>
    </row>
    <row r="30" spans="1:34" ht="69" customHeight="1" thickBot="1">
      <c r="A30" s="207" t="s">
        <v>425</v>
      </c>
      <c r="B30" s="208" t="s">
        <v>218</v>
      </c>
      <c r="C30" s="208" t="s">
        <v>426</v>
      </c>
      <c r="D30" s="63" t="s">
        <v>344</v>
      </c>
      <c r="E30" s="63" t="s">
        <v>491</v>
      </c>
      <c r="F30" s="65" t="s">
        <v>459</v>
      </c>
      <c r="G30" s="71" t="s">
        <v>492</v>
      </c>
      <c r="H30" s="139"/>
      <c r="I30" s="139"/>
      <c r="J30" s="139"/>
      <c r="K30" s="139"/>
      <c r="L30" s="25">
        <f>GETPIVOTDATA("Summe von group_I_60_Beguenstigte/Anzahl_Jungen_Maenner_I60",Pivot!$J$7,"group_I_60_Beguenstigte/Beguenstigte","I_60a_M_Anzahl_Konsultationen")</f>
        <v>44</v>
      </c>
      <c r="M30" s="25">
        <f>GETPIVOTDATA("Summe von group_I_60_Beguenstigte/Anzahl_Maedchen_Frauen_I60",Pivot!$J$7,"group_I_60_Beguenstigte/Beguenstigte","I_60a_M_Anzahl_Konsultationen")</f>
        <v>55</v>
      </c>
      <c r="N30" s="157"/>
      <c r="O30" s="153"/>
      <c r="P30" s="139"/>
      <c r="Q30" s="139"/>
      <c r="R30" s="154"/>
      <c r="S30" s="155"/>
      <c r="T30" s="155"/>
      <c r="U30" s="156"/>
      <c r="V30" s="139"/>
      <c r="W30" s="139"/>
      <c r="X30" s="154"/>
      <c r="Y30" s="155"/>
      <c r="Z30" s="155"/>
      <c r="AA30" s="156"/>
      <c r="AB30" s="139"/>
      <c r="AC30" s="139"/>
      <c r="AD30" s="130"/>
      <c r="AE30" s="131"/>
      <c r="AF30" s="131"/>
      <c r="AG30" s="132"/>
    </row>
    <row r="31" spans="1:34" ht="45.75" thickBot="1">
      <c r="A31" s="207"/>
      <c r="B31" s="209"/>
      <c r="C31" s="209"/>
      <c r="D31" s="63" t="s">
        <v>345</v>
      </c>
      <c r="E31" s="63" t="s">
        <v>493</v>
      </c>
      <c r="F31" s="65" t="s">
        <v>459</v>
      </c>
      <c r="G31" s="63" t="s">
        <v>494</v>
      </c>
      <c r="H31" s="139"/>
      <c r="I31" s="139"/>
      <c r="J31" s="139"/>
      <c r="K31" s="139"/>
      <c r="L31" s="25">
        <f>GETPIVOTDATA("Summe von group_I_60_Beguenstigte/Anzahl_Jungen_Maenner_I60",Pivot!$J$7,"group_I_60_Beguenstigte/Beguenstigte","I_60b_M_Anzahl_Sensibilisierte")</f>
        <v>2</v>
      </c>
      <c r="M31" s="26">
        <f>GETPIVOTDATA("Summe von group_I_60_Beguenstigte/Anzahl_Maedchen_Frauen_I60",Pivot!$J$7,"group_I_60_Beguenstigte/Beguenstigte","I_60b_M_Anzahl_Sensibilisierte")</f>
        <v>2</v>
      </c>
      <c r="N31" s="157"/>
      <c r="O31" s="153"/>
      <c r="P31" s="139"/>
      <c r="Q31" s="139"/>
      <c r="R31" s="154"/>
      <c r="S31" s="155"/>
      <c r="T31" s="155"/>
      <c r="U31" s="156"/>
      <c r="V31" s="139"/>
      <c r="W31" s="139"/>
      <c r="X31" s="154"/>
      <c r="Y31" s="155"/>
      <c r="Z31" s="155"/>
      <c r="AA31" s="156"/>
      <c r="AB31" s="139"/>
      <c r="AC31" s="139"/>
      <c r="AD31" s="130"/>
      <c r="AE31" s="131"/>
      <c r="AF31" s="131"/>
      <c r="AG31" s="132"/>
    </row>
    <row r="32" spans="1:34" ht="60.75" thickBot="1">
      <c r="A32" s="207"/>
      <c r="B32" s="210"/>
      <c r="C32" s="210"/>
      <c r="D32" s="63" t="s">
        <v>346</v>
      </c>
      <c r="E32" s="63" t="s">
        <v>495</v>
      </c>
      <c r="F32" s="65" t="s">
        <v>496</v>
      </c>
      <c r="G32" s="63" t="s">
        <v>497</v>
      </c>
      <c r="H32" s="139"/>
      <c r="I32" s="139"/>
      <c r="J32" s="139"/>
      <c r="K32" s="139"/>
      <c r="L32" s="25">
        <f>GETPIVOTDATA("Summe von group_I_60_Beguenstigte/Anzahl_Jungen_Maenner_I60",Pivot!$J$7,"group_I_60_Beguenstigte/Beguenstigte","I_60c_M_Anzahl_chirurgische_Eingriffe")</f>
        <v>3</v>
      </c>
      <c r="M32" s="26">
        <f>GETPIVOTDATA("Summe von group_I_60_Beguenstigte/Anzahl_Maedchen_Frauen_I60",Pivot!$J$7,"group_I_60_Beguenstigte/Beguenstigte","I_60c_M_Anzahl_chirurgische_Eingriffe")</f>
        <v>3</v>
      </c>
      <c r="N32" s="157"/>
      <c r="O32" s="153"/>
      <c r="P32" s="139"/>
      <c r="Q32" s="139"/>
      <c r="R32" s="154"/>
      <c r="S32" s="155"/>
      <c r="T32" s="155"/>
      <c r="U32" s="156"/>
      <c r="V32" s="139"/>
      <c r="W32" s="139"/>
      <c r="X32" s="154"/>
      <c r="Y32" s="155"/>
      <c r="Z32" s="155"/>
      <c r="AA32" s="156"/>
      <c r="AB32" s="139"/>
      <c r="AC32" s="139"/>
      <c r="AD32" s="130"/>
      <c r="AE32" s="131"/>
      <c r="AF32" s="131"/>
      <c r="AG32" s="132"/>
    </row>
    <row r="33" spans="1:33" ht="90.75" thickBot="1">
      <c r="A33" s="207"/>
      <c r="B33" s="63" t="s">
        <v>222</v>
      </c>
      <c r="C33" s="63" t="s">
        <v>430</v>
      </c>
      <c r="D33" s="63" t="s">
        <v>223</v>
      </c>
      <c r="E33" s="63" t="s">
        <v>431</v>
      </c>
      <c r="F33" s="65" t="s">
        <v>496</v>
      </c>
      <c r="G33" s="63" t="s">
        <v>465</v>
      </c>
      <c r="H33" s="146"/>
      <c r="I33" s="139"/>
      <c r="J33" s="146"/>
      <c r="K33" s="146"/>
      <c r="L33" s="40">
        <f>GETPIVOTDATA("Summe von group_I_61_geistlich_Beguensti/Anzahl_Jungen_Maenner_I61",Pivot!$N$7,"Schwerpunkt","medizinische_Arbeit_und_Prävention","Waehle_Indikator/I_61",TRUE)</f>
        <v>5</v>
      </c>
      <c r="M33" s="41">
        <f>GETPIVOTDATA("Summe von group_I_61_geistlich_Beguensti/Anzahl_Maedchen_Frauen_I61",Pivot!$N$7,"Schwerpunkt","medizinische_Arbeit_und_Prävention","Waehle_Indikator/I_61",TRUE)</f>
        <v>6</v>
      </c>
      <c r="N33" s="158"/>
      <c r="O33" s="149"/>
      <c r="P33" s="146"/>
      <c r="Q33" s="146"/>
      <c r="R33" s="152"/>
      <c r="S33" s="150"/>
      <c r="T33" s="150"/>
      <c r="U33" s="151"/>
      <c r="V33" s="146"/>
      <c r="W33" s="146"/>
      <c r="X33" s="152"/>
      <c r="Y33" s="150"/>
      <c r="Z33" s="150"/>
      <c r="AA33" s="151"/>
      <c r="AB33" s="146"/>
      <c r="AC33" s="146"/>
      <c r="AD33" s="129"/>
      <c r="AE33" s="127"/>
      <c r="AF33" s="127"/>
      <c r="AG33" s="128"/>
    </row>
    <row r="34" spans="1:33" ht="60.75" thickBot="1">
      <c r="A34" s="66" t="s">
        <v>432</v>
      </c>
      <c r="B34" s="67" t="s">
        <v>224</v>
      </c>
      <c r="C34" s="67" t="s">
        <v>433</v>
      </c>
      <c r="D34" s="68" t="s">
        <v>225</v>
      </c>
      <c r="E34" s="67" t="s">
        <v>434</v>
      </c>
      <c r="F34" s="69">
        <v>3</v>
      </c>
      <c r="G34" s="67" t="s">
        <v>498</v>
      </c>
      <c r="H34" s="146"/>
      <c r="I34" s="139"/>
      <c r="J34" s="172"/>
      <c r="K34" s="173"/>
      <c r="L34" s="184">
        <f>DCOUNTA(group_I_70_Anz_Kontakte[#All],I_70!F1,A2:E3)</f>
        <v>2</v>
      </c>
      <c r="M34" s="185"/>
      <c r="N34" s="159"/>
      <c r="O34" s="160"/>
      <c r="P34" s="172"/>
      <c r="Q34" s="173"/>
      <c r="R34" s="170"/>
      <c r="S34" s="171"/>
      <c r="T34" s="161"/>
      <c r="U34" s="162"/>
      <c r="V34" s="172"/>
      <c r="W34" s="173"/>
      <c r="X34" s="170"/>
      <c r="Y34" s="171"/>
      <c r="Z34" s="161"/>
      <c r="AA34" s="162"/>
      <c r="AB34" s="172"/>
      <c r="AC34" s="173"/>
      <c r="AD34" s="174"/>
      <c r="AE34" s="175"/>
      <c r="AF34" s="133"/>
      <c r="AG34" s="134"/>
    </row>
    <row r="35" spans="1:33" ht="16.5" thickBot="1"/>
    <row r="36" spans="1:33" ht="16.5" thickBot="1">
      <c r="A36" s="50"/>
      <c r="B36" s="50" t="s">
        <v>435</v>
      </c>
      <c r="C36" s="50" t="s">
        <v>436</v>
      </c>
      <c r="D36" s="51"/>
      <c r="E36" s="50" t="s">
        <v>437</v>
      </c>
      <c r="F36" s="50"/>
      <c r="G36" s="50" t="s">
        <v>467</v>
      </c>
    </row>
    <row r="37" spans="1:33" ht="16.5" thickBot="1">
      <c r="A37" s="52"/>
      <c r="B37" s="53" t="s">
        <v>226</v>
      </c>
      <c r="C37" s="139"/>
      <c r="D37" s="146"/>
      <c r="E37" s="139"/>
      <c r="F37" s="16"/>
      <c r="G37" s="16"/>
    </row>
    <row r="38" spans="1:33" ht="16.5" thickBot="1">
      <c r="A38" s="52"/>
      <c r="B38" s="53" t="s">
        <v>227</v>
      </c>
      <c r="C38" s="139"/>
      <c r="D38" s="146"/>
      <c r="E38" s="139"/>
      <c r="F38" s="16"/>
      <c r="G38" s="16"/>
    </row>
  </sheetData>
  <mergeCells count="181">
    <mergeCell ref="AB5:AC5"/>
    <mergeCell ref="J6:K6"/>
    <mergeCell ref="L6:M6"/>
    <mergeCell ref="P6:Q6"/>
    <mergeCell ref="R6:S6"/>
    <mergeCell ref="V6:W6"/>
    <mergeCell ref="X6:Y6"/>
    <mergeCell ref="AB6:AC6"/>
    <mergeCell ref="J5:K5"/>
    <mergeCell ref="L5:O5"/>
    <mergeCell ref="P5:Q5"/>
    <mergeCell ref="R5:U5"/>
    <mergeCell ref="V5:W5"/>
    <mergeCell ref="X5:AA5"/>
    <mergeCell ref="AB7:AC7"/>
    <mergeCell ref="J8:K8"/>
    <mergeCell ref="L8:M8"/>
    <mergeCell ref="P8:Q8"/>
    <mergeCell ref="R8:S8"/>
    <mergeCell ref="V8:W8"/>
    <mergeCell ref="X8:Y8"/>
    <mergeCell ref="AB8:AC8"/>
    <mergeCell ref="J7:K7"/>
    <mergeCell ref="L7:M7"/>
    <mergeCell ref="P7:Q7"/>
    <mergeCell ref="R7:S7"/>
    <mergeCell ref="V7:W7"/>
    <mergeCell ref="X7:Y7"/>
    <mergeCell ref="A11:A13"/>
    <mergeCell ref="C11:C13"/>
    <mergeCell ref="J11:K11"/>
    <mergeCell ref="L11:M11"/>
    <mergeCell ref="P11:Q11"/>
    <mergeCell ref="AB9:AC9"/>
    <mergeCell ref="AD9:AG9"/>
    <mergeCell ref="J10:K10"/>
    <mergeCell ref="L10:M10"/>
    <mergeCell ref="P10:Q10"/>
    <mergeCell ref="R10:S10"/>
    <mergeCell ref="V10:W10"/>
    <mergeCell ref="X10:Y10"/>
    <mergeCell ref="AB10:AC10"/>
    <mergeCell ref="AD10:AE10"/>
    <mergeCell ref="J9:K9"/>
    <mergeCell ref="L9:O9"/>
    <mergeCell ref="P9:Q9"/>
    <mergeCell ref="R9:U9"/>
    <mergeCell ref="V9:W9"/>
    <mergeCell ref="X9:AA9"/>
    <mergeCell ref="J13:K13"/>
    <mergeCell ref="L13:M13"/>
    <mergeCell ref="P13:Q13"/>
    <mergeCell ref="R13:S13"/>
    <mergeCell ref="V13:W13"/>
    <mergeCell ref="X13:Y13"/>
    <mergeCell ref="AB13:AC13"/>
    <mergeCell ref="R11:S11"/>
    <mergeCell ref="V11:W11"/>
    <mergeCell ref="X11:Y11"/>
    <mergeCell ref="AB11:AC11"/>
    <mergeCell ref="J12:K12"/>
    <mergeCell ref="L12:M12"/>
    <mergeCell ref="P12:Q12"/>
    <mergeCell ref="R12:S12"/>
    <mergeCell ref="V12:W12"/>
    <mergeCell ref="A14:A15"/>
    <mergeCell ref="J14:K14"/>
    <mergeCell ref="P14:Q14"/>
    <mergeCell ref="R14:S14"/>
    <mergeCell ref="V14:W14"/>
    <mergeCell ref="X14:Y14"/>
    <mergeCell ref="AB14:AC14"/>
    <mergeCell ref="AD14:AE14"/>
    <mergeCell ref="J15:K15"/>
    <mergeCell ref="J16:K16"/>
    <mergeCell ref="L16:M16"/>
    <mergeCell ref="P16:Q16"/>
    <mergeCell ref="R16:S16"/>
    <mergeCell ref="V16:W16"/>
    <mergeCell ref="X16:Y16"/>
    <mergeCell ref="AB16:AC16"/>
    <mergeCell ref="AD16:AE16"/>
    <mergeCell ref="L15:M15"/>
    <mergeCell ref="P15:Q15"/>
    <mergeCell ref="R15:S15"/>
    <mergeCell ref="V15:W15"/>
    <mergeCell ref="X15:Y15"/>
    <mergeCell ref="AB15:AC15"/>
    <mergeCell ref="A22:A29"/>
    <mergeCell ref="J22:K22"/>
    <mergeCell ref="L22:M22"/>
    <mergeCell ref="P22:Q22"/>
    <mergeCell ref="R22:S22"/>
    <mergeCell ref="V22:W22"/>
    <mergeCell ref="AB18:AC18"/>
    <mergeCell ref="AD18:AE18"/>
    <mergeCell ref="J20:K20"/>
    <mergeCell ref="L20:M20"/>
    <mergeCell ref="P20:Q20"/>
    <mergeCell ref="R20:S20"/>
    <mergeCell ref="V20:W20"/>
    <mergeCell ref="X20:Y20"/>
    <mergeCell ref="AB20:AC20"/>
    <mergeCell ref="AD20:AE20"/>
    <mergeCell ref="J18:K18"/>
    <mergeCell ref="L18:M18"/>
    <mergeCell ref="P18:Q18"/>
    <mergeCell ref="R18:S18"/>
    <mergeCell ref="V18:W18"/>
    <mergeCell ref="X18:Y18"/>
    <mergeCell ref="B27:B28"/>
    <mergeCell ref="C27:C28"/>
    <mergeCell ref="J27:K27"/>
    <mergeCell ref="L27:M27"/>
    <mergeCell ref="P27:Q27"/>
    <mergeCell ref="R27:S27"/>
    <mergeCell ref="V27:W27"/>
    <mergeCell ref="X23:Y23"/>
    <mergeCell ref="AB23:AC23"/>
    <mergeCell ref="B25:B26"/>
    <mergeCell ref="C25:C26"/>
    <mergeCell ref="J25:K25"/>
    <mergeCell ref="L25:M25"/>
    <mergeCell ref="P25:Q25"/>
    <mergeCell ref="R25:S25"/>
    <mergeCell ref="V25:W25"/>
    <mergeCell ref="B23:B24"/>
    <mergeCell ref="C23:C24"/>
    <mergeCell ref="J23:K23"/>
    <mergeCell ref="L23:M23"/>
    <mergeCell ref="P23:Q23"/>
    <mergeCell ref="R23:S23"/>
    <mergeCell ref="V23:W23"/>
    <mergeCell ref="B12:B13"/>
    <mergeCell ref="A30:A33"/>
    <mergeCell ref="B30:B32"/>
    <mergeCell ref="C30:C32"/>
    <mergeCell ref="J34:K34"/>
    <mergeCell ref="L34:M34"/>
    <mergeCell ref="P34:Q34"/>
    <mergeCell ref="AD28:AE28"/>
    <mergeCell ref="J29:K29"/>
    <mergeCell ref="L29:M29"/>
    <mergeCell ref="P29:Q29"/>
    <mergeCell ref="R29:S29"/>
    <mergeCell ref="V29:W29"/>
    <mergeCell ref="X29:Y29"/>
    <mergeCell ref="AB29:AC29"/>
    <mergeCell ref="AD29:AE29"/>
    <mergeCell ref="X27:Y27"/>
    <mergeCell ref="AB27:AC27"/>
    <mergeCell ref="AD27:AE27"/>
    <mergeCell ref="J28:K28"/>
    <mergeCell ref="L28:M28"/>
    <mergeCell ref="P28:Q28"/>
    <mergeCell ref="R28:S28"/>
    <mergeCell ref="V28:W28"/>
    <mergeCell ref="AD7:AE7"/>
    <mergeCell ref="AD8:AE8"/>
    <mergeCell ref="AD5:AG5"/>
    <mergeCell ref="AD6:AE6"/>
    <mergeCell ref="R34:S34"/>
    <mergeCell ref="V34:W34"/>
    <mergeCell ref="X34:Y34"/>
    <mergeCell ref="AB34:AC34"/>
    <mergeCell ref="AD34:AE34"/>
    <mergeCell ref="X28:Y28"/>
    <mergeCell ref="AB28:AC28"/>
    <mergeCell ref="X25:Y25"/>
    <mergeCell ref="AB25:AC25"/>
    <mergeCell ref="AD25:AE25"/>
    <mergeCell ref="AD23:AE23"/>
    <mergeCell ref="X22:Y22"/>
    <mergeCell ref="AB22:AC22"/>
    <mergeCell ref="AD22:AE22"/>
    <mergeCell ref="AD15:AE15"/>
    <mergeCell ref="AD13:AE13"/>
    <mergeCell ref="X12:Y12"/>
    <mergeCell ref="AB12:AC12"/>
    <mergeCell ref="AD12:AE12"/>
    <mergeCell ref="AD11:AE11"/>
  </mergeCells>
  <pageMargins left="0.7" right="0.7" top="0.78740157499999996" bottom="0.78740157499999996" header="0.3" footer="0.3"/>
  <drawing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E34A637E-C82E-4DF5-A923-FC64E5EF9E02}">
          <x14:formula1>
            <xm:f>Pivot!$F$8:$F$11</xm:f>
          </x14:formula1>
          <xm:sqref>E3</xm:sqref>
        </x14:dataValidation>
      </x14:dataValidations>
    </ext>
    <ext xmlns:x14="http://schemas.microsoft.com/office/spreadsheetml/2009/9/main" uri="{A8765BA9-456A-4dab-B4F3-ACF838C121DE}">
      <x14:slicerList>
        <x14:slicer r:id="rId2"/>
      </x14:slicerList>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17445-EC25-4F99-86E0-EC374D6A8178}">
  <sheetPr>
    <tabColor theme="9" tint="-0.499984740745262"/>
  </sheetPr>
  <dimension ref="A1:AH39"/>
  <sheetViews>
    <sheetView zoomScaleNormal="100" workbookViewId="0">
      <selection activeCell="N26" sqref="N26"/>
    </sheetView>
  </sheetViews>
  <sheetFormatPr baseColWidth="10" defaultColWidth="11.42578125" defaultRowHeight="15.75" outlineLevelCol="2"/>
  <cols>
    <col min="1" max="1" width="19.5703125" style="8" customWidth="1"/>
    <col min="2" max="2" width="11.140625" style="4" customWidth="1"/>
    <col min="3" max="3" width="31" style="4" customWidth="1"/>
    <col min="4" max="4" width="8.85546875" style="5" customWidth="1"/>
    <col min="5" max="5" width="31" style="4" customWidth="1"/>
    <col min="6" max="6" width="18.140625" style="4" hidden="1" customWidth="1" outlineLevel="2"/>
    <col min="7" max="7" width="62.140625" style="4" hidden="1" customWidth="1" outlineLevel="2"/>
    <col min="8" max="8" width="11.42578125" style="4" customWidth="1" outlineLevel="1" collapsed="1"/>
    <col min="9" max="9" width="31.85546875" style="4" customWidth="1" outlineLevel="1"/>
    <col min="10" max="11" width="5.7109375" style="4" customWidth="1"/>
    <col min="12" max="13" width="11.42578125" style="4" hidden="1" customWidth="1" outlineLevel="1"/>
    <col min="14" max="15" width="32" style="4" hidden="1" customWidth="1" outlineLevel="1"/>
    <col min="16" max="16" width="5.7109375" style="4" customWidth="1" collapsed="1"/>
    <col min="17" max="17" width="5.7109375" style="4" customWidth="1"/>
    <col min="18" max="19" width="5.7109375" style="4" hidden="1" customWidth="1" outlineLevel="1"/>
    <col min="20" max="20" width="22.7109375" style="4" hidden="1" customWidth="1" outlineLevel="1"/>
    <col min="21" max="21" width="25.42578125" style="4" hidden="1" customWidth="1" outlineLevel="1"/>
    <col min="22" max="22" width="5.7109375" style="4" customWidth="1" collapsed="1"/>
    <col min="23" max="23" width="5.7109375" style="4" customWidth="1"/>
    <col min="24" max="25" width="5.7109375" style="4" hidden="1" customWidth="1" outlineLevel="1"/>
    <col min="26" max="26" width="22.7109375" style="4" hidden="1" customWidth="1" outlineLevel="1"/>
    <col min="27" max="27" width="25.42578125" style="4" hidden="1" customWidth="1" outlineLevel="1"/>
    <col min="28" max="28" width="5.7109375" style="4" customWidth="1" collapsed="1"/>
    <col min="29" max="29" width="5.7109375" style="4" customWidth="1"/>
    <col min="30" max="31" width="5.7109375" style="4" hidden="1" customWidth="1" outlineLevel="1"/>
    <col min="32" max="32" width="22.7109375" style="4" hidden="1" customWidth="1" outlineLevel="1"/>
    <col min="33" max="33" width="25.42578125" style="4" hidden="1" customWidth="1" outlineLevel="1"/>
    <col min="34" max="34" width="11.42578125" style="4" collapsed="1"/>
    <col min="35" max="16384" width="11.42578125" style="4"/>
  </cols>
  <sheetData>
    <row r="1" spans="1:33" ht="19.5" thickBot="1">
      <c r="A1" s="3" t="s">
        <v>500</v>
      </c>
    </row>
    <row r="2" spans="1:33" ht="16.5" thickBot="1">
      <c r="A2" s="100" t="str">
        <f>Haupttabelle[[#Headers],[Land]]</f>
        <v>Land</v>
      </c>
      <c r="B2" s="100" t="str">
        <f>Haupttabelle[[#Headers],[Projekt]]</f>
        <v>Projekt</v>
      </c>
      <c r="C2" s="100" t="str">
        <f>Haupttabelle[[#Headers],[Teilprojekt]]</f>
        <v>Teilprojekt</v>
      </c>
      <c r="D2" s="100" t="str">
        <f>Haupttabelle[[#Headers],[Name]]</f>
        <v>Name</v>
      </c>
      <c r="E2" s="100" t="str">
        <f>Haupttabelle[[#Headers],[Schwerpunkt]]</f>
        <v>Schwerpunkt</v>
      </c>
    </row>
    <row r="3" spans="1:33" ht="54" customHeight="1" thickBot="1">
      <c r="A3" s="7" t="str">
        <f>IF(Pivot!B3="(Alle)","",Pivot!B3)</f>
        <v/>
      </c>
      <c r="B3" s="7" t="str">
        <f>IF(Pivot!B4="(Alle)","",Pivot!B4)</f>
        <v/>
      </c>
      <c r="C3" s="7" t="str">
        <f>IF(Pivot!B5="(Alle)","",Pivot!B5)</f>
        <v/>
      </c>
      <c r="D3" s="48" t="str">
        <f>IF(Pivot!B2="(Alle)","",Pivot!B2)</f>
        <v/>
      </c>
      <c r="E3" s="7" t="s">
        <v>273</v>
      </c>
    </row>
    <row r="4" spans="1:33" ht="39" customHeight="1" thickBot="1"/>
    <row r="5" spans="1:33" ht="16.5" thickBot="1">
      <c r="J5" s="226" t="s">
        <v>179</v>
      </c>
      <c r="K5" s="227"/>
      <c r="L5" s="165" t="s">
        <v>180</v>
      </c>
      <c r="M5" s="166"/>
      <c r="N5" s="166"/>
      <c r="O5" s="167"/>
      <c r="P5" s="226" t="s">
        <v>179</v>
      </c>
      <c r="Q5" s="227"/>
      <c r="R5" s="165" t="s">
        <v>181</v>
      </c>
      <c r="S5" s="166"/>
      <c r="T5" s="166"/>
      <c r="U5" s="167"/>
      <c r="V5" s="226" t="s">
        <v>179</v>
      </c>
      <c r="W5" s="227"/>
      <c r="X5" s="165" t="s">
        <v>182</v>
      </c>
      <c r="Y5" s="166"/>
      <c r="Z5" s="166"/>
      <c r="AA5" s="167"/>
      <c r="AB5" s="226" t="s">
        <v>179</v>
      </c>
      <c r="AC5" s="227"/>
      <c r="AD5" s="165" t="s">
        <v>187</v>
      </c>
      <c r="AE5" s="166"/>
      <c r="AF5" s="166"/>
      <c r="AG5" s="167"/>
    </row>
    <row r="6" spans="1:33" ht="48" thickBot="1">
      <c r="A6" s="77"/>
      <c r="B6" s="77" t="s">
        <v>372</v>
      </c>
      <c r="C6" s="77" t="s">
        <v>373</v>
      </c>
      <c r="D6" s="78" t="s">
        <v>374</v>
      </c>
      <c r="E6" s="77" t="s">
        <v>375</v>
      </c>
      <c r="F6" s="77"/>
      <c r="G6" s="77"/>
      <c r="H6" s="77" t="s">
        <v>376</v>
      </c>
      <c r="I6" s="78" t="s">
        <v>377</v>
      </c>
      <c r="J6" s="226" t="s">
        <v>378</v>
      </c>
      <c r="K6" s="227"/>
      <c r="L6" s="218" t="s">
        <v>379</v>
      </c>
      <c r="M6" s="219"/>
      <c r="N6" s="82" t="s">
        <v>380</v>
      </c>
      <c r="O6" s="83" t="s">
        <v>381</v>
      </c>
      <c r="P6" s="226" t="s">
        <v>382</v>
      </c>
      <c r="Q6" s="227"/>
      <c r="R6" s="218" t="s">
        <v>383</v>
      </c>
      <c r="S6" s="219"/>
      <c r="T6" s="82" t="s">
        <v>380</v>
      </c>
      <c r="U6" s="83" t="s">
        <v>381</v>
      </c>
      <c r="V6" s="226" t="s">
        <v>384</v>
      </c>
      <c r="W6" s="227"/>
      <c r="X6" s="218" t="s">
        <v>385</v>
      </c>
      <c r="Y6" s="219"/>
      <c r="Z6" s="82" t="s">
        <v>380</v>
      </c>
      <c r="AA6" s="83" t="s">
        <v>381</v>
      </c>
      <c r="AB6" s="226" t="s">
        <v>386</v>
      </c>
      <c r="AC6" s="227"/>
      <c r="AD6" s="218" t="s">
        <v>387</v>
      </c>
      <c r="AE6" s="219"/>
      <c r="AF6" s="82" t="s">
        <v>380</v>
      </c>
      <c r="AG6" s="83" t="s">
        <v>381</v>
      </c>
    </row>
    <row r="7" spans="1:33" ht="16.5" thickBot="1">
      <c r="A7" s="81"/>
      <c r="B7" s="79" t="s">
        <v>183</v>
      </c>
      <c r="C7" s="139"/>
      <c r="D7" s="80" t="s">
        <v>184</v>
      </c>
      <c r="E7" s="139"/>
      <c r="F7" s="143"/>
      <c r="G7" s="143"/>
      <c r="H7" s="139"/>
      <c r="I7" s="139"/>
      <c r="J7" s="172"/>
      <c r="K7" s="173"/>
      <c r="L7" s="178"/>
      <c r="M7" s="179"/>
      <c r="N7" s="141"/>
      <c r="O7" s="142"/>
      <c r="P7" s="172"/>
      <c r="Q7" s="173"/>
      <c r="R7" s="178"/>
      <c r="S7" s="179"/>
      <c r="T7" s="141"/>
      <c r="U7" s="142"/>
      <c r="V7" s="172"/>
      <c r="W7" s="173"/>
      <c r="X7" s="178"/>
      <c r="Y7" s="179"/>
      <c r="Z7" s="141"/>
      <c r="AA7" s="142"/>
      <c r="AB7" s="172"/>
      <c r="AC7" s="173"/>
      <c r="AD7" s="176"/>
      <c r="AE7" s="177"/>
      <c r="AF7" s="125"/>
      <c r="AG7" s="126"/>
    </row>
    <row r="8" spans="1:33" ht="16.5" thickBot="1">
      <c r="A8" s="81"/>
      <c r="B8" s="79" t="s">
        <v>185</v>
      </c>
      <c r="C8" s="139"/>
      <c r="D8" s="80" t="s">
        <v>186</v>
      </c>
      <c r="E8" s="139"/>
      <c r="F8" s="143"/>
      <c r="G8" s="143"/>
      <c r="H8" s="139"/>
      <c r="I8" s="139"/>
      <c r="J8" s="172"/>
      <c r="K8" s="173"/>
      <c r="L8" s="178"/>
      <c r="M8" s="179"/>
      <c r="N8" s="141"/>
      <c r="O8" s="142"/>
      <c r="P8" s="172"/>
      <c r="Q8" s="173"/>
      <c r="R8" s="178"/>
      <c r="S8" s="179"/>
      <c r="T8" s="141"/>
      <c r="U8" s="142"/>
      <c r="V8" s="172"/>
      <c r="W8" s="173"/>
      <c r="X8" s="178"/>
      <c r="Y8" s="179"/>
      <c r="Z8" s="141"/>
      <c r="AA8" s="142"/>
      <c r="AB8" s="172"/>
      <c r="AC8" s="173"/>
      <c r="AD8" s="176"/>
      <c r="AE8" s="177"/>
      <c r="AF8" s="125"/>
      <c r="AG8" s="126"/>
    </row>
    <row r="9" spans="1:33" ht="16.5" thickBot="1">
      <c r="J9" s="226" t="s">
        <v>179</v>
      </c>
      <c r="K9" s="227"/>
      <c r="L9" s="165" t="s">
        <v>180</v>
      </c>
      <c r="M9" s="166"/>
      <c r="N9" s="166"/>
      <c r="O9" s="167"/>
      <c r="P9" s="226" t="s">
        <v>179</v>
      </c>
      <c r="Q9" s="227"/>
      <c r="R9" s="165" t="s">
        <v>181</v>
      </c>
      <c r="S9" s="166"/>
      <c r="T9" s="166"/>
      <c r="U9" s="167"/>
      <c r="V9" s="226" t="s">
        <v>179</v>
      </c>
      <c r="W9" s="227"/>
      <c r="X9" s="165" t="s">
        <v>182</v>
      </c>
      <c r="Y9" s="166"/>
      <c r="Z9" s="166"/>
      <c r="AA9" s="167"/>
      <c r="AB9" s="226" t="s">
        <v>179</v>
      </c>
      <c r="AC9" s="227"/>
      <c r="AD9" s="165" t="s">
        <v>187</v>
      </c>
      <c r="AE9" s="166"/>
      <c r="AF9" s="166"/>
      <c r="AG9" s="167"/>
    </row>
    <row r="10" spans="1:33" ht="79.5" thickBot="1">
      <c r="A10" s="77" t="s">
        <v>388</v>
      </c>
      <c r="B10" s="77" t="s">
        <v>389</v>
      </c>
      <c r="C10" s="77" t="s">
        <v>390</v>
      </c>
      <c r="D10" s="78" t="s">
        <v>374</v>
      </c>
      <c r="E10" s="77" t="s">
        <v>375</v>
      </c>
      <c r="F10" s="77" t="s">
        <v>438</v>
      </c>
      <c r="G10" s="77" t="s">
        <v>439</v>
      </c>
      <c r="H10" s="77" t="s">
        <v>376</v>
      </c>
      <c r="I10" s="78" t="s">
        <v>377</v>
      </c>
      <c r="J10" s="226" t="s">
        <v>378</v>
      </c>
      <c r="K10" s="227"/>
      <c r="L10" s="218" t="s">
        <v>379</v>
      </c>
      <c r="M10" s="219"/>
      <c r="N10" s="82" t="s">
        <v>380</v>
      </c>
      <c r="O10" s="83" t="s">
        <v>381</v>
      </c>
      <c r="P10" s="226" t="s">
        <v>382</v>
      </c>
      <c r="Q10" s="227"/>
      <c r="R10" s="218" t="s">
        <v>383</v>
      </c>
      <c r="S10" s="219"/>
      <c r="T10" s="82" t="s">
        <v>380</v>
      </c>
      <c r="U10" s="83" t="s">
        <v>381</v>
      </c>
      <c r="V10" s="226" t="s">
        <v>384</v>
      </c>
      <c r="W10" s="227"/>
      <c r="X10" s="218" t="s">
        <v>385</v>
      </c>
      <c r="Y10" s="219"/>
      <c r="Z10" s="82" t="s">
        <v>380</v>
      </c>
      <c r="AA10" s="83" t="s">
        <v>381</v>
      </c>
      <c r="AB10" s="226" t="s">
        <v>386</v>
      </c>
      <c r="AC10" s="227"/>
      <c r="AD10" s="218" t="s">
        <v>387</v>
      </c>
      <c r="AE10" s="219"/>
      <c r="AF10" s="82" t="s">
        <v>380</v>
      </c>
      <c r="AG10" s="83" t="s">
        <v>381</v>
      </c>
    </row>
    <row r="11" spans="1:33" ht="45.75" customHeight="1" thickBot="1">
      <c r="A11" s="228" t="s">
        <v>469</v>
      </c>
      <c r="B11" s="84" t="s">
        <v>188</v>
      </c>
      <c r="C11" s="229" t="s">
        <v>501</v>
      </c>
      <c r="D11" s="85" t="s">
        <v>189</v>
      </c>
      <c r="E11" s="84" t="s">
        <v>394</v>
      </c>
      <c r="F11" s="86">
        <v>0.1</v>
      </c>
      <c r="G11" s="87" t="s">
        <v>440</v>
      </c>
      <c r="H11" s="139"/>
      <c r="I11" s="139"/>
      <c r="J11" s="172"/>
      <c r="K11" s="173"/>
      <c r="L11" s="202" t="e">
        <f>DSUM(Haupttabelle[#All],Main!Z1,A2:E3)/DCOUNT(Haupttabelle[#All],Main!Z1,A2:E3)/100</f>
        <v>#DIV/0!</v>
      </c>
      <c r="M11" s="203"/>
      <c r="N11" s="147" t="str">
        <f>CONCATENATE("Moyenne de ",DCOUNT(Haupttabelle[#All],Main!Z1,A2:E3)," valeur(s)")</f>
        <v>Moyenne de 0 valeur(s)</v>
      </c>
      <c r="O11" s="148"/>
      <c r="P11" s="172"/>
      <c r="Q11" s="173"/>
      <c r="R11" s="178"/>
      <c r="S11" s="179"/>
      <c r="T11" s="141"/>
      <c r="U11" s="142"/>
      <c r="V11" s="172"/>
      <c r="W11" s="173"/>
      <c r="X11" s="178"/>
      <c r="Y11" s="179"/>
      <c r="Z11" s="141"/>
      <c r="AA11" s="142"/>
      <c r="AB11" s="172"/>
      <c r="AC11" s="173"/>
      <c r="AD11" s="176"/>
      <c r="AE11" s="177"/>
      <c r="AF11" s="125"/>
      <c r="AG11" s="126"/>
    </row>
    <row r="12" spans="1:33" ht="45.75" thickBot="1">
      <c r="A12" s="228"/>
      <c r="B12" s="220"/>
      <c r="C12" s="229"/>
      <c r="D12" s="85" t="s">
        <v>192</v>
      </c>
      <c r="E12" s="84" t="s">
        <v>395</v>
      </c>
      <c r="F12" s="88" t="s">
        <v>441</v>
      </c>
      <c r="G12" s="84" t="s">
        <v>442</v>
      </c>
      <c r="H12" s="139"/>
      <c r="I12" s="139"/>
      <c r="J12" s="172"/>
      <c r="K12" s="173"/>
      <c r="L12" s="186">
        <f>GETPIVOTDATA("group_I_10b_Personelle_Abhaeng/Verantwortung_uebernommen",Pivot!$A$7,"Schwerpunkt","Verbesserung_der_Lebensgrundlagen")</f>
        <v>1</v>
      </c>
      <c r="M12" s="187"/>
      <c r="N12" s="147" t="s">
        <v>541</v>
      </c>
      <c r="O12" s="148"/>
      <c r="P12" s="172"/>
      <c r="Q12" s="173"/>
      <c r="R12" s="178"/>
      <c r="S12" s="179"/>
      <c r="T12" s="141"/>
      <c r="U12" s="142"/>
      <c r="V12" s="172"/>
      <c r="W12" s="173"/>
      <c r="X12" s="178"/>
      <c r="Y12" s="179"/>
      <c r="Z12" s="141"/>
      <c r="AA12" s="142"/>
      <c r="AB12" s="172"/>
      <c r="AC12" s="173"/>
      <c r="AD12" s="176"/>
      <c r="AE12" s="177"/>
      <c r="AF12" s="125"/>
      <c r="AG12" s="126"/>
    </row>
    <row r="13" spans="1:33" ht="45.75" customHeight="1" thickBot="1">
      <c r="A13" s="228"/>
      <c r="B13" s="220"/>
      <c r="C13" s="229"/>
      <c r="D13" s="85" t="s">
        <v>193</v>
      </c>
      <c r="E13" s="84" t="s">
        <v>396</v>
      </c>
      <c r="F13" s="88">
        <v>2</v>
      </c>
      <c r="G13" s="84" t="s">
        <v>502</v>
      </c>
      <c r="H13" s="139"/>
      <c r="I13" s="139"/>
      <c r="J13" s="172"/>
      <c r="K13" s="173"/>
      <c r="L13" s="186">
        <f>DCOUNTA(group_I_10c_Neue_Angebote[#All],I_10c!F1,A2:E3)</f>
        <v>0</v>
      </c>
      <c r="M13" s="187"/>
      <c r="N13" s="147"/>
      <c r="O13" s="148"/>
      <c r="P13" s="172"/>
      <c r="Q13" s="173"/>
      <c r="R13" s="178"/>
      <c r="S13" s="179"/>
      <c r="T13" s="141"/>
      <c r="U13" s="142"/>
      <c r="V13" s="172"/>
      <c r="W13" s="173"/>
      <c r="X13" s="178"/>
      <c r="Y13" s="179"/>
      <c r="Z13" s="141"/>
      <c r="AA13" s="142"/>
      <c r="AB13" s="172"/>
      <c r="AC13" s="173"/>
      <c r="AD13" s="176"/>
      <c r="AE13" s="177"/>
      <c r="AF13" s="125"/>
      <c r="AG13" s="126"/>
    </row>
    <row r="14" spans="1:33" ht="90.75" thickBot="1">
      <c r="A14" s="221" t="s">
        <v>397</v>
      </c>
      <c r="B14" s="89" t="s">
        <v>194</v>
      </c>
      <c r="C14" s="89" t="s">
        <v>503</v>
      </c>
      <c r="D14" s="90" t="s">
        <v>347</v>
      </c>
      <c r="E14" s="89" t="s">
        <v>504</v>
      </c>
      <c r="F14" s="91">
        <v>2</v>
      </c>
      <c r="G14" s="92" t="s">
        <v>505</v>
      </c>
      <c r="H14" s="139"/>
      <c r="I14" s="146"/>
      <c r="J14" s="172"/>
      <c r="K14" s="173"/>
      <c r="L14" s="25">
        <f>GETPIVOTDATA("Summe von group_I_20_Verantw_uebernommen/Anzahl_Jungen_Maenner_I20",Pivot!$F$7,"Schwerpunkt","Verbesserung_der_Lebensgrundlagen")</f>
        <v>3</v>
      </c>
      <c r="M14" s="26">
        <f>GETPIVOTDATA("Summe von group_I_20_Verantw_uebernommen/Anzahl_Maedchen_Frauen_I20",Pivot!$F$7,"Schwerpunkt","Verbesserung_der_Lebensgrundlagen")</f>
        <v>3</v>
      </c>
      <c r="N14" s="147"/>
      <c r="O14" s="148"/>
      <c r="P14" s="172"/>
      <c r="Q14" s="173"/>
      <c r="R14" s="178"/>
      <c r="S14" s="179"/>
      <c r="T14" s="141"/>
      <c r="U14" s="142"/>
      <c r="V14" s="172"/>
      <c r="W14" s="173"/>
      <c r="X14" s="178"/>
      <c r="Y14" s="179"/>
      <c r="Z14" s="141"/>
      <c r="AA14" s="142"/>
      <c r="AB14" s="172"/>
      <c r="AC14" s="173"/>
      <c r="AD14" s="176"/>
      <c r="AE14" s="177"/>
      <c r="AF14" s="125"/>
      <c r="AG14" s="126"/>
    </row>
    <row r="15" spans="1:33" ht="45.75" thickBot="1">
      <c r="A15" s="221"/>
      <c r="B15" s="89" t="s">
        <v>196</v>
      </c>
      <c r="C15" s="89" t="s">
        <v>476</v>
      </c>
      <c r="D15" s="90" t="s">
        <v>348</v>
      </c>
      <c r="E15" s="89" t="s">
        <v>401</v>
      </c>
      <c r="F15" s="91">
        <v>5</v>
      </c>
      <c r="G15" s="89" t="s">
        <v>477</v>
      </c>
      <c r="H15" s="139"/>
      <c r="I15" s="146"/>
      <c r="J15" s="172"/>
      <c r="K15" s="173"/>
      <c r="L15" s="186">
        <f>DCOUNTA(Haupttabelle[#All],Main!AG1,A2:E3)</f>
        <v>1</v>
      </c>
      <c r="M15" s="187"/>
      <c r="N15" s="147"/>
      <c r="O15" s="148"/>
      <c r="P15" s="172"/>
      <c r="Q15" s="173"/>
      <c r="R15" s="178"/>
      <c r="S15" s="179"/>
      <c r="T15" s="141"/>
      <c r="U15" s="142"/>
      <c r="V15" s="172"/>
      <c r="W15" s="173"/>
      <c r="X15" s="178"/>
      <c r="Y15" s="179"/>
      <c r="Z15" s="141"/>
      <c r="AA15" s="142"/>
      <c r="AB15" s="172"/>
      <c r="AC15" s="173"/>
      <c r="AD15" s="176"/>
      <c r="AE15" s="177"/>
      <c r="AF15" s="125"/>
      <c r="AG15" s="126"/>
    </row>
    <row r="16" spans="1:33" ht="60.75" thickBot="1">
      <c r="A16" s="93" t="s">
        <v>402</v>
      </c>
      <c r="B16" s="94" t="s">
        <v>198</v>
      </c>
      <c r="C16" s="94" t="s">
        <v>506</v>
      </c>
      <c r="D16" s="95" t="s">
        <v>199</v>
      </c>
      <c r="E16" s="94" t="s">
        <v>404</v>
      </c>
      <c r="F16" s="96" t="s">
        <v>441</v>
      </c>
      <c r="G16" s="94" t="s">
        <v>507</v>
      </c>
      <c r="H16" s="139"/>
      <c r="I16" s="146"/>
      <c r="J16" s="172"/>
      <c r="K16" s="173"/>
      <c r="L16" s="186">
        <f>DCOUNTA(Haupttabelle[#All],Main!AJ1,A2:E3)</f>
        <v>0</v>
      </c>
      <c r="M16" s="187"/>
      <c r="N16" s="147"/>
      <c r="O16" s="148"/>
      <c r="P16" s="172"/>
      <c r="Q16" s="173"/>
      <c r="R16" s="178"/>
      <c r="S16" s="179"/>
      <c r="T16" s="141"/>
      <c r="U16" s="142"/>
      <c r="V16" s="172"/>
      <c r="W16" s="173"/>
      <c r="X16" s="178"/>
      <c r="Y16" s="179"/>
      <c r="Z16" s="141"/>
      <c r="AA16" s="142"/>
      <c r="AB16" s="172"/>
      <c r="AC16" s="173"/>
      <c r="AD16" s="176"/>
      <c r="AE16" s="177"/>
      <c r="AF16" s="125"/>
      <c r="AG16" s="126"/>
    </row>
    <row r="17" spans="1:34" ht="12.75" customHeight="1" thickBot="1">
      <c r="A17" s="31"/>
      <c r="B17" s="32"/>
      <c r="C17" s="32"/>
      <c r="D17" s="33"/>
      <c r="E17" s="32"/>
      <c r="F17" s="32"/>
      <c r="G17" s="32"/>
    </row>
    <row r="18" spans="1:34" ht="79.5" thickBot="1">
      <c r="A18" s="77" t="s">
        <v>481</v>
      </c>
      <c r="B18" s="77" t="s">
        <v>482</v>
      </c>
      <c r="C18" s="77" t="s">
        <v>483</v>
      </c>
      <c r="D18" s="78" t="s">
        <v>391</v>
      </c>
      <c r="E18" s="77" t="s">
        <v>375</v>
      </c>
      <c r="F18" s="77" t="s">
        <v>438</v>
      </c>
      <c r="G18" s="77" t="s">
        <v>439</v>
      </c>
      <c r="H18" s="77" t="s">
        <v>376</v>
      </c>
      <c r="I18" s="78" t="s">
        <v>377</v>
      </c>
      <c r="J18" s="226" t="s">
        <v>378</v>
      </c>
      <c r="K18" s="227"/>
      <c r="L18" s="218" t="s">
        <v>379</v>
      </c>
      <c r="M18" s="219"/>
      <c r="N18" s="82" t="s">
        <v>380</v>
      </c>
      <c r="O18" s="83" t="s">
        <v>381</v>
      </c>
      <c r="P18" s="226" t="s">
        <v>382</v>
      </c>
      <c r="Q18" s="227"/>
      <c r="R18" s="218" t="s">
        <v>383</v>
      </c>
      <c r="S18" s="219"/>
      <c r="T18" s="82" t="s">
        <v>380</v>
      </c>
      <c r="U18" s="83" t="s">
        <v>381</v>
      </c>
      <c r="V18" s="226" t="s">
        <v>384</v>
      </c>
      <c r="W18" s="227"/>
      <c r="X18" s="218" t="s">
        <v>385</v>
      </c>
      <c r="Y18" s="219"/>
      <c r="Z18" s="82" t="s">
        <v>380</v>
      </c>
      <c r="AA18" s="83" t="s">
        <v>381</v>
      </c>
      <c r="AB18" s="226" t="s">
        <v>386</v>
      </c>
      <c r="AC18" s="227"/>
      <c r="AD18" s="218" t="s">
        <v>387</v>
      </c>
      <c r="AE18" s="219"/>
      <c r="AF18" s="82" t="s">
        <v>380</v>
      </c>
      <c r="AG18" s="83" t="s">
        <v>381</v>
      </c>
    </row>
    <row r="19" spans="1:34" ht="16.5" thickBot="1">
      <c r="A19" s="77"/>
      <c r="B19" s="77"/>
      <c r="C19" s="77"/>
      <c r="D19" s="78"/>
      <c r="E19" s="77"/>
      <c r="F19" s="77"/>
      <c r="G19" s="77"/>
      <c r="H19" s="77"/>
      <c r="I19" s="78"/>
      <c r="J19" s="135" t="s">
        <v>468</v>
      </c>
      <c r="K19" s="135" t="s">
        <v>126</v>
      </c>
      <c r="L19" s="136" t="s">
        <v>468</v>
      </c>
      <c r="M19" s="137" t="s">
        <v>126</v>
      </c>
      <c r="N19" s="137"/>
      <c r="O19" s="138"/>
      <c r="P19" s="135" t="s">
        <v>468</v>
      </c>
      <c r="Q19" s="135" t="s">
        <v>126</v>
      </c>
      <c r="R19" s="136" t="s">
        <v>468</v>
      </c>
      <c r="S19" s="137" t="s">
        <v>126</v>
      </c>
      <c r="T19" s="137"/>
      <c r="U19" s="138"/>
      <c r="V19" s="135" t="s">
        <v>468</v>
      </c>
      <c r="W19" s="135" t="s">
        <v>126</v>
      </c>
      <c r="X19" s="136" t="s">
        <v>468</v>
      </c>
      <c r="Y19" s="137" t="s">
        <v>126</v>
      </c>
      <c r="Z19" s="137"/>
      <c r="AA19" s="138"/>
      <c r="AB19" s="135" t="s">
        <v>468</v>
      </c>
      <c r="AC19" s="135" t="s">
        <v>126</v>
      </c>
      <c r="AD19" s="136" t="s">
        <v>468</v>
      </c>
      <c r="AE19" s="137" t="s">
        <v>126</v>
      </c>
      <c r="AF19" s="137"/>
      <c r="AG19" s="138"/>
    </row>
    <row r="20" spans="1:34" ht="45" customHeight="1" thickBot="1">
      <c r="A20" s="81" t="s">
        <v>405</v>
      </c>
      <c r="B20" s="79" t="s">
        <v>200</v>
      </c>
      <c r="C20" s="79" t="s">
        <v>406</v>
      </c>
      <c r="D20" s="80" t="s">
        <v>201</v>
      </c>
      <c r="E20" s="79" t="s">
        <v>407</v>
      </c>
      <c r="F20" s="97"/>
      <c r="G20" s="79" t="s">
        <v>447</v>
      </c>
      <c r="H20" s="146"/>
      <c r="I20" s="139"/>
      <c r="J20" s="172"/>
      <c r="K20" s="173"/>
      <c r="L20" s="194">
        <f>DCOUNTA(group_I_40_Partnerorg[#All],I_40!F1,A2:E3)</f>
        <v>0</v>
      </c>
      <c r="M20" s="195"/>
      <c r="N20" s="149"/>
      <c r="O20" s="149"/>
      <c r="P20" s="172"/>
      <c r="Q20" s="173"/>
      <c r="R20" s="196"/>
      <c r="S20" s="197"/>
      <c r="T20" s="150"/>
      <c r="U20" s="151"/>
      <c r="V20" s="172"/>
      <c r="W20" s="173"/>
      <c r="X20" s="196"/>
      <c r="Y20" s="197"/>
      <c r="Z20" s="150"/>
      <c r="AA20" s="151"/>
      <c r="AB20" s="172"/>
      <c r="AC20" s="173"/>
      <c r="AD20" s="198"/>
      <c r="AE20" s="199"/>
      <c r="AF20" s="127"/>
      <c r="AG20" s="128"/>
    </row>
    <row r="21" spans="1:34" ht="90.75" thickBot="1">
      <c r="A21" s="81" t="s">
        <v>408</v>
      </c>
      <c r="B21" s="79" t="s">
        <v>202</v>
      </c>
      <c r="C21" s="79" t="s">
        <v>409</v>
      </c>
      <c r="D21" s="80" t="s">
        <v>203</v>
      </c>
      <c r="E21" s="79" t="s">
        <v>410</v>
      </c>
      <c r="F21" s="97" t="s">
        <v>448</v>
      </c>
      <c r="G21" s="79" t="s">
        <v>449</v>
      </c>
      <c r="H21" s="146"/>
      <c r="I21" s="139"/>
      <c r="J21" s="146"/>
      <c r="K21" s="146"/>
      <c r="L21" s="40">
        <f>DSUM(group_I_41_Einsatzleistende[#All],group_I_41_Einsatzleistende[[#Headers],[Anzahl M]],A2:E3)</f>
        <v>0</v>
      </c>
      <c r="M21" s="41">
        <f>DSUM(group_I_41_Einsatzleistende[#All],group_I_41_Einsatzleistende[[#Headers],[Anzahl F]],A2:E3)</f>
        <v>0</v>
      </c>
      <c r="N21" s="149"/>
      <c r="O21" s="149"/>
      <c r="P21" s="146"/>
      <c r="Q21" s="146"/>
      <c r="R21" s="152"/>
      <c r="S21" s="150"/>
      <c r="T21" s="150"/>
      <c r="U21" s="151"/>
      <c r="V21" s="146"/>
      <c r="W21" s="146"/>
      <c r="X21" s="152"/>
      <c r="Y21" s="150"/>
      <c r="Z21" s="150"/>
      <c r="AA21" s="151"/>
      <c r="AB21" s="146"/>
      <c r="AC21" s="146"/>
      <c r="AD21" s="129"/>
      <c r="AE21" s="127"/>
      <c r="AF21" s="127"/>
      <c r="AG21" s="128"/>
    </row>
    <row r="22" spans="1:34" ht="57.75" customHeight="1" thickBot="1">
      <c r="A22" s="225" t="s">
        <v>411</v>
      </c>
      <c r="B22" s="84" t="s">
        <v>204</v>
      </c>
      <c r="C22" s="84" t="s">
        <v>508</v>
      </c>
      <c r="D22" s="84" t="s">
        <v>205</v>
      </c>
      <c r="E22" s="84" t="s">
        <v>413</v>
      </c>
      <c r="F22" s="88">
        <v>2</v>
      </c>
      <c r="G22" s="84" t="s">
        <v>450</v>
      </c>
      <c r="H22" s="139"/>
      <c r="I22" s="139"/>
      <c r="J22" s="172"/>
      <c r="K22" s="173"/>
      <c r="L22" s="186">
        <f>DCOUNTA(group_I_50_strukt_Veraend[#All],I_50!F1,A2:E3)</f>
        <v>0</v>
      </c>
      <c r="M22" s="187"/>
      <c r="N22" s="148"/>
      <c r="O22" s="148"/>
      <c r="P22" s="172"/>
      <c r="Q22" s="173"/>
      <c r="R22" s="178"/>
      <c r="S22" s="179"/>
      <c r="T22" s="141"/>
      <c r="U22" s="142"/>
      <c r="V22" s="172"/>
      <c r="W22" s="173"/>
      <c r="X22" s="178"/>
      <c r="Y22" s="179"/>
      <c r="Z22" s="141"/>
      <c r="AA22" s="142"/>
      <c r="AB22" s="172"/>
      <c r="AC22" s="173"/>
      <c r="AD22" s="176"/>
      <c r="AE22" s="177"/>
      <c r="AF22" s="125"/>
      <c r="AG22" s="126"/>
    </row>
    <row r="23" spans="1:34" ht="60.75" thickBot="1">
      <c r="A23" s="225"/>
      <c r="B23" s="220" t="s">
        <v>206</v>
      </c>
      <c r="C23" s="220" t="s">
        <v>414</v>
      </c>
      <c r="D23" s="84" t="s">
        <v>207</v>
      </c>
      <c r="E23" s="84" t="s">
        <v>415</v>
      </c>
      <c r="F23" s="88">
        <v>1</v>
      </c>
      <c r="G23" s="84" t="s">
        <v>451</v>
      </c>
      <c r="H23" s="139"/>
      <c r="I23" s="139"/>
      <c r="J23" s="172"/>
      <c r="K23" s="173"/>
      <c r="L23" s="186">
        <f>DCOUNTA(group_I_51_WB_Admin[#All],I_51!F1,A2:E3)</f>
        <v>0</v>
      </c>
      <c r="M23" s="187"/>
      <c r="N23" s="148" t="str">
        <f>CONCATENATE("Nombre de jours: ",DSUM(group_I_51_WB_Admin[#All],group_I_51_WB_Admin[[#Headers],[group_I_51_WB_Admin/Anzahl_Tage_WB_Coaching_I51]],A2:E3))</f>
        <v>Nombre de jours: 0</v>
      </c>
      <c r="O23" s="148"/>
      <c r="P23" s="172"/>
      <c r="Q23" s="173"/>
      <c r="R23" s="178"/>
      <c r="S23" s="179"/>
      <c r="T23" s="141"/>
      <c r="U23" s="142"/>
      <c r="V23" s="172"/>
      <c r="W23" s="173"/>
      <c r="X23" s="178"/>
      <c r="Y23" s="179"/>
      <c r="Z23" s="141"/>
      <c r="AA23" s="142"/>
      <c r="AB23" s="172"/>
      <c r="AC23" s="173"/>
      <c r="AD23" s="176"/>
      <c r="AE23" s="177"/>
      <c r="AF23" s="125"/>
      <c r="AG23" s="126"/>
    </row>
    <row r="24" spans="1:34" ht="60.75" thickBot="1">
      <c r="A24" s="225"/>
      <c r="B24" s="220"/>
      <c r="C24" s="220"/>
      <c r="D24" s="84" t="s">
        <v>208</v>
      </c>
      <c r="E24" s="84" t="s">
        <v>416</v>
      </c>
      <c r="F24" s="88" t="s">
        <v>452</v>
      </c>
      <c r="G24" s="84" t="s">
        <v>453</v>
      </c>
      <c r="H24" s="139"/>
      <c r="I24" s="139"/>
      <c r="J24" s="139"/>
      <c r="K24" s="139"/>
      <c r="L24" s="25">
        <f>DSUM(group_I_51_WB_Admin[#All],group_I_51_WB_Admin[[#Headers],[group_I_51_WB_Admin/I_51b_Anzahl_beg_Maenner]],A2:E3)</f>
        <v>0</v>
      </c>
      <c r="M24" s="26">
        <f>DSUM(group_I_51_WB_Admin[#All],group_I_51_WB_Admin[[#Headers],[group_I_51_WB_Admin/I_51b_Anzahl_beg_Frauen]],A2:E3)</f>
        <v>0</v>
      </c>
      <c r="N24" s="153"/>
      <c r="O24" s="153"/>
      <c r="P24" s="139"/>
      <c r="Q24" s="139"/>
      <c r="R24" s="154"/>
      <c r="S24" s="155"/>
      <c r="T24" s="155"/>
      <c r="U24" s="156"/>
      <c r="V24" s="139"/>
      <c r="W24" s="139"/>
      <c r="X24" s="154"/>
      <c r="Y24" s="155"/>
      <c r="Z24" s="155"/>
      <c r="AA24" s="156"/>
      <c r="AB24" s="139"/>
      <c r="AC24" s="139"/>
      <c r="AD24" s="130"/>
      <c r="AE24" s="131"/>
      <c r="AF24" s="131"/>
      <c r="AG24" s="132"/>
    </row>
    <row r="25" spans="1:34" ht="45.75" thickBot="1">
      <c r="A25" s="225"/>
      <c r="B25" s="220" t="s">
        <v>209</v>
      </c>
      <c r="C25" s="220" t="s">
        <v>509</v>
      </c>
      <c r="D25" s="84" t="s">
        <v>210</v>
      </c>
      <c r="E25" s="84" t="s">
        <v>418</v>
      </c>
      <c r="F25" s="88">
        <v>1</v>
      </c>
      <c r="G25" s="84" t="s">
        <v>454</v>
      </c>
      <c r="H25" s="139"/>
      <c r="I25" s="139"/>
      <c r="J25" s="172"/>
      <c r="K25" s="173"/>
      <c r="L25" s="186">
        <f>DCOUNTA(group_I_52_WB_Fachpers[#All],I_52!F1,A2:E3)</f>
        <v>0</v>
      </c>
      <c r="M25" s="187"/>
      <c r="N25" s="147" t="str">
        <f>CONCATENATE("Nombre de : ",DSUM(group_I_52_WB_Fachpers[#All],group_I_52_WB_Fachpers[[#Headers],[group_I_52_WB_Fachpers/Anzahl_Tage_WB_Coaching_I52]],A2:E3))</f>
        <v>Nombre de : 0</v>
      </c>
      <c r="O25" s="148"/>
      <c r="P25" s="172"/>
      <c r="Q25" s="173"/>
      <c r="R25" s="178"/>
      <c r="S25" s="179"/>
      <c r="T25" s="141"/>
      <c r="U25" s="142"/>
      <c r="V25" s="172"/>
      <c r="W25" s="173"/>
      <c r="X25" s="178"/>
      <c r="Y25" s="179"/>
      <c r="Z25" s="141"/>
      <c r="AA25" s="142"/>
      <c r="AB25" s="172"/>
      <c r="AC25" s="173"/>
      <c r="AD25" s="176"/>
      <c r="AE25" s="177"/>
      <c r="AF25" s="125"/>
      <c r="AG25" s="126"/>
    </row>
    <row r="26" spans="1:34" ht="45.75" thickBot="1">
      <c r="A26" s="225"/>
      <c r="B26" s="220"/>
      <c r="C26" s="220"/>
      <c r="D26" s="84" t="s">
        <v>211</v>
      </c>
      <c r="E26" s="84" t="s">
        <v>510</v>
      </c>
      <c r="F26" s="88" t="s">
        <v>455</v>
      </c>
      <c r="G26" s="84" t="s">
        <v>511</v>
      </c>
      <c r="H26" s="139"/>
      <c r="I26" s="139"/>
      <c r="J26" s="139"/>
      <c r="K26" s="139"/>
      <c r="L26" s="25">
        <f>DSUM(group_I_52_WB_Fachpers[#All],group_I_52_WB_Fachpers[[#Headers],[group_I_52_WB_Fachpers/I_52b_Anzahl_beg_Maenner]],A2:E3)</f>
        <v>0</v>
      </c>
      <c r="M26" s="26">
        <f>DSUM(group_I_52_WB_Fachpers[#All],group_I_52_WB_Fachpers[[#Headers],[group_I_52_WB_Fachpers/I_52b_Anzahl_beg_Frauen]],A2:E3)</f>
        <v>0</v>
      </c>
      <c r="N26" s="157"/>
      <c r="O26" s="153"/>
      <c r="P26" s="139"/>
      <c r="Q26" s="139"/>
      <c r="R26" s="154"/>
      <c r="S26" s="155"/>
      <c r="T26" s="155"/>
      <c r="U26" s="156"/>
      <c r="V26" s="139"/>
      <c r="W26" s="139"/>
      <c r="X26" s="154"/>
      <c r="Y26" s="155"/>
      <c r="Z26" s="155"/>
      <c r="AA26" s="156"/>
      <c r="AB26" s="139"/>
      <c r="AC26" s="139"/>
      <c r="AD26" s="130"/>
      <c r="AE26" s="131"/>
      <c r="AF26" s="131"/>
      <c r="AG26" s="132"/>
    </row>
    <row r="27" spans="1:34" ht="30.75" customHeight="1" thickBot="1">
      <c r="A27" s="225"/>
      <c r="B27" s="220" t="s">
        <v>212</v>
      </c>
      <c r="C27" s="220" t="s">
        <v>420</v>
      </c>
      <c r="D27" s="84" t="s">
        <v>213</v>
      </c>
      <c r="E27" s="84" t="s">
        <v>487</v>
      </c>
      <c r="F27" s="88">
        <v>3</v>
      </c>
      <c r="G27" s="84" t="s">
        <v>456</v>
      </c>
      <c r="H27" s="139"/>
      <c r="I27" s="139"/>
      <c r="J27" s="172"/>
      <c r="K27" s="173"/>
      <c r="L27" s="186">
        <f>DCOUNTA(group_I_53_Infrastruktur[#All],I_53!F1,A2:E3)</f>
        <v>0</v>
      </c>
      <c r="M27" s="187"/>
      <c r="N27" s="147"/>
      <c r="O27" s="148"/>
      <c r="P27" s="172"/>
      <c r="Q27" s="173"/>
      <c r="R27" s="178"/>
      <c r="S27" s="179"/>
      <c r="T27" s="141"/>
      <c r="U27" s="142"/>
      <c r="V27" s="172"/>
      <c r="W27" s="173"/>
      <c r="X27" s="178"/>
      <c r="Y27" s="179"/>
      <c r="Z27" s="141"/>
      <c r="AA27" s="142"/>
      <c r="AB27" s="172"/>
      <c r="AC27" s="173"/>
      <c r="AD27" s="176"/>
      <c r="AE27" s="177"/>
      <c r="AF27" s="125"/>
      <c r="AG27" s="126"/>
    </row>
    <row r="28" spans="1:34" ht="21" customHeight="1" thickBot="1">
      <c r="A28" s="225"/>
      <c r="B28" s="220"/>
      <c r="C28" s="220"/>
      <c r="D28" s="84" t="s">
        <v>214</v>
      </c>
      <c r="E28" s="84" t="s">
        <v>422</v>
      </c>
      <c r="F28" s="88" t="s">
        <v>217</v>
      </c>
      <c r="G28" s="84" t="s">
        <v>457</v>
      </c>
      <c r="H28" s="139"/>
      <c r="I28" s="139"/>
      <c r="J28" s="172"/>
      <c r="K28" s="173"/>
      <c r="L28" s="188">
        <f>DSUM(group_I_53_Infrastruktur[#All],I_53!G1,A2:E3)</f>
        <v>0</v>
      </c>
      <c r="M28" s="189"/>
      <c r="N28" s="147"/>
      <c r="O28" s="148"/>
      <c r="P28" s="172"/>
      <c r="Q28" s="173"/>
      <c r="R28" s="178"/>
      <c r="S28" s="179"/>
      <c r="T28" s="141"/>
      <c r="U28" s="142"/>
      <c r="V28" s="172"/>
      <c r="W28" s="173"/>
      <c r="X28" s="178"/>
      <c r="Y28" s="179"/>
      <c r="Z28" s="141"/>
      <c r="AA28" s="142"/>
      <c r="AB28" s="172"/>
      <c r="AC28" s="173"/>
      <c r="AD28" s="176"/>
      <c r="AE28" s="177"/>
      <c r="AF28" s="125"/>
      <c r="AG28" s="126"/>
    </row>
    <row r="29" spans="1:34" ht="60.75" thickBot="1">
      <c r="A29" s="225"/>
      <c r="B29" s="84" t="s">
        <v>215</v>
      </c>
      <c r="C29" s="84" t="s">
        <v>512</v>
      </c>
      <c r="D29" s="84" t="s">
        <v>216</v>
      </c>
      <c r="E29" s="84" t="s">
        <v>424</v>
      </c>
      <c r="F29" s="88">
        <v>3</v>
      </c>
      <c r="G29" s="84" t="s">
        <v>513</v>
      </c>
      <c r="H29" s="139"/>
      <c r="I29" s="139"/>
      <c r="J29" s="172"/>
      <c r="K29" s="173"/>
      <c r="L29" s="186">
        <f>DCOUNTA(group_I_54_Hilfsmittel[#All],I_54!F1,A2:E3)</f>
        <v>0</v>
      </c>
      <c r="M29" s="187"/>
      <c r="N29" s="147"/>
      <c r="O29" s="148"/>
      <c r="P29" s="172"/>
      <c r="Q29" s="173"/>
      <c r="R29" s="178"/>
      <c r="S29" s="179"/>
      <c r="T29" s="141"/>
      <c r="U29" s="142"/>
      <c r="V29" s="172"/>
      <c r="W29" s="173"/>
      <c r="X29" s="178"/>
      <c r="Y29" s="179"/>
      <c r="Z29" s="141"/>
      <c r="AA29" s="142"/>
      <c r="AB29" s="172"/>
      <c r="AC29" s="173"/>
      <c r="AD29" s="176"/>
      <c r="AE29" s="177"/>
      <c r="AF29" s="125"/>
      <c r="AG29" s="126"/>
      <c r="AH29" s="8"/>
    </row>
    <row r="30" spans="1:34" ht="30.75" customHeight="1" thickBot="1">
      <c r="A30" s="221" t="s">
        <v>425</v>
      </c>
      <c r="B30" s="222" t="s">
        <v>218</v>
      </c>
      <c r="C30" s="222" t="s">
        <v>426</v>
      </c>
      <c r="D30" s="98" t="s">
        <v>349</v>
      </c>
      <c r="E30" s="98" t="s">
        <v>514</v>
      </c>
      <c r="F30" s="91" t="s">
        <v>459</v>
      </c>
      <c r="G30" s="98" t="s">
        <v>515</v>
      </c>
      <c r="H30" s="139"/>
      <c r="I30" s="139"/>
      <c r="J30" s="139"/>
      <c r="K30" s="139"/>
      <c r="L30" s="25">
        <f>GETPIVOTDATA("Summe von group_I_60_Beguenstigte/Anzahl_Jungen_Maenner_I60",Pivot!$J$7,"group_I_60_Beguenstigte/Beguenstigte","I_60a_L_Anzahl_Geschulte")</f>
        <v>5</v>
      </c>
      <c r="M30" s="25">
        <f>GETPIVOTDATA("Summe von group_I_60_Beguenstigte/Anzahl_Maedchen_Frauen_I60",Pivot!$J$7,"group_I_60_Beguenstigte/Beguenstigte","I_60a_L_Anzahl_Geschulte")</f>
        <v>5</v>
      </c>
      <c r="N30" s="157"/>
      <c r="O30" s="153"/>
      <c r="P30" s="139"/>
      <c r="Q30" s="139"/>
      <c r="R30" s="154"/>
      <c r="S30" s="155"/>
      <c r="T30" s="155"/>
      <c r="U30" s="156"/>
      <c r="V30" s="139"/>
      <c r="W30" s="139"/>
      <c r="X30" s="154"/>
      <c r="Y30" s="155"/>
      <c r="Z30" s="155"/>
      <c r="AA30" s="156"/>
      <c r="AB30" s="139"/>
      <c r="AC30" s="139"/>
      <c r="AD30" s="130"/>
      <c r="AE30" s="131"/>
      <c r="AF30" s="131"/>
      <c r="AG30" s="132"/>
    </row>
    <row r="31" spans="1:34" ht="30.75" thickBot="1">
      <c r="A31" s="221"/>
      <c r="B31" s="223"/>
      <c r="C31" s="223"/>
      <c r="D31" s="98" t="s">
        <v>350</v>
      </c>
      <c r="E31" s="98" t="s">
        <v>516</v>
      </c>
      <c r="F31" s="91" t="s">
        <v>459</v>
      </c>
      <c r="G31" s="98" t="s">
        <v>517</v>
      </c>
      <c r="H31" s="139"/>
      <c r="I31" s="139"/>
      <c r="J31" s="139"/>
      <c r="K31" s="139"/>
      <c r="L31" s="25">
        <f>GETPIVOTDATA("Summe von group_I_60_Beguenstigte/Anzahl_Jungen_Maenner_I60",Pivot!$J$7,"group_I_60_Beguenstigte/Beguenstigte","I_60c_L_Anzahl_Sensibilisierte")</f>
        <v>8</v>
      </c>
      <c r="M31" s="26">
        <f>GETPIVOTDATA("Summe von group_I_60_Beguenstigte/Anzahl_Maedchen_Frauen_I60",Pivot!$J$7,"group_I_60_Beguenstigte/Beguenstigte","I_60c_L_Anzahl_Sensibilisierte")</f>
        <v>8</v>
      </c>
      <c r="N31" s="157"/>
      <c r="O31" s="153"/>
      <c r="P31" s="139"/>
      <c r="Q31" s="139"/>
      <c r="R31" s="154"/>
      <c r="S31" s="155"/>
      <c r="T31" s="155"/>
      <c r="U31" s="156"/>
      <c r="V31" s="139"/>
      <c r="W31" s="139"/>
      <c r="X31" s="154"/>
      <c r="Y31" s="155"/>
      <c r="Z31" s="155"/>
      <c r="AA31" s="156"/>
      <c r="AB31" s="139"/>
      <c r="AC31" s="139"/>
      <c r="AD31" s="130"/>
      <c r="AE31" s="131"/>
      <c r="AF31" s="131"/>
      <c r="AG31" s="132"/>
    </row>
    <row r="32" spans="1:34" ht="30.75" thickBot="1">
      <c r="A32" s="221"/>
      <c r="B32" s="224"/>
      <c r="C32" s="224"/>
      <c r="D32" s="98" t="s">
        <v>351</v>
      </c>
      <c r="E32" s="98" t="s">
        <v>518</v>
      </c>
      <c r="F32" s="91" t="s">
        <v>496</v>
      </c>
      <c r="G32" s="98" t="s">
        <v>519</v>
      </c>
      <c r="H32" s="139"/>
      <c r="I32" s="139"/>
      <c r="J32" s="139"/>
      <c r="K32" s="139"/>
      <c r="L32" s="25">
        <f>GETPIVOTDATA("Summe von group_I_60_Beguenstigte/Anzahl_Jungen_Maenner_I60",Pivot!$J$7,"group_I_60_Beguenstigte/Beguenstigte","I_60c_L_Anzahl_direkt_Begünstigte")</f>
        <v>3</v>
      </c>
      <c r="M32" s="26">
        <f>GETPIVOTDATA("Summe von group_I_60_Beguenstigte/Anzahl_Maedchen_Frauen_I60",Pivot!$J$7,"group_I_60_Beguenstigte/Beguenstigte","I_60c_L_Anzahl_direkt_Begünstigte")</f>
        <v>3</v>
      </c>
      <c r="N32" s="157"/>
      <c r="O32" s="153"/>
      <c r="P32" s="139"/>
      <c r="Q32" s="139"/>
      <c r="R32" s="154"/>
      <c r="S32" s="155"/>
      <c r="T32" s="155"/>
      <c r="U32" s="156"/>
      <c r="V32" s="139"/>
      <c r="W32" s="139"/>
      <c r="X32" s="154"/>
      <c r="Y32" s="155"/>
      <c r="Z32" s="155"/>
      <c r="AA32" s="156"/>
      <c r="AB32" s="139"/>
      <c r="AC32" s="139"/>
      <c r="AD32" s="130"/>
      <c r="AE32" s="131"/>
      <c r="AF32" s="131"/>
      <c r="AG32" s="132"/>
    </row>
    <row r="33" spans="1:33" ht="90.75" thickBot="1">
      <c r="A33" s="221"/>
      <c r="B33" s="98" t="s">
        <v>222</v>
      </c>
      <c r="C33" s="98" t="s">
        <v>430</v>
      </c>
      <c r="D33" s="99" t="s">
        <v>223</v>
      </c>
      <c r="E33" s="98" t="s">
        <v>431</v>
      </c>
      <c r="F33" s="91" t="s">
        <v>496</v>
      </c>
      <c r="G33" s="98" t="s">
        <v>465</v>
      </c>
      <c r="H33" s="146"/>
      <c r="I33" s="139"/>
      <c r="J33" s="146"/>
      <c r="K33" s="146"/>
      <c r="L33" s="40">
        <f>GETPIVOTDATA("Summe von group_I_61_geistlich_Beguensti/Anzahl_Jungen_Maenner_I61",Pivot!$N$7,"Schwerpunkt","Verbesserung_der_Lebensgrundlagen","Waehle_Indikator/I_61",TRUE)</f>
        <v>6</v>
      </c>
      <c r="M33" s="41">
        <f>GETPIVOTDATA("Summe von group_I_61_geistlich_Beguensti/Anzahl_Maedchen_Frauen_I61",Pivot!$N$7,"Schwerpunkt","Verbesserung_der_Lebensgrundlagen","Waehle_Indikator/I_61",TRUE)</f>
        <v>6</v>
      </c>
      <c r="N33" s="158"/>
      <c r="O33" s="149"/>
      <c r="P33" s="146"/>
      <c r="Q33" s="146"/>
      <c r="R33" s="152"/>
      <c r="S33" s="150"/>
      <c r="T33" s="150"/>
      <c r="U33" s="151"/>
      <c r="V33" s="146"/>
      <c r="W33" s="146"/>
      <c r="X33" s="152"/>
      <c r="Y33" s="150"/>
      <c r="Z33" s="150"/>
      <c r="AA33" s="151"/>
      <c r="AB33" s="146"/>
      <c r="AC33" s="146"/>
      <c r="AD33" s="129"/>
      <c r="AE33" s="127"/>
      <c r="AF33" s="127"/>
      <c r="AG33" s="128"/>
    </row>
    <row r="34" spans="1:33" ht="60.75" thickBot="1">
      <c r="A34" s="93" t="s">
        <v>432</v>
      </c>
      <c r="B34" s="94" t="s">
        <v>224</v>
      </c>
      <c r="C34" s="94" t="s">
        <v>433</v>
      </c>
      <c r="D34" s="95" t="s">
        <v>225</v>
      </c>
      <c r="E34" s="94" t="s">
        <v>434</v>
      </c>
      <c r="F34" s="96">
        <v>3</v>
      </c>
      <c r="G34" s="94" t="s">
        <v>520</v>
      </c>
      <c r="H34" s="146"/>
      <c r="I34" s="139"/>
      <c r="J34" s="172"/>
      <c r="K34" s="173"/>
      <c r="L34" s="184">
        <f>DCOUNTA(group_I_70_Anz_Kontakte[#All],I_70!F1,A2:E3)</f>
        <v>0</v>
      </c>
      <c r="M34" s="185"/>
      <c r="N34" s="159"/>
      <c r="O34" s="160"/>
      <c r="P34" s="172"/>
      <c r="Q34" s="173"/>
      <c r="R34" s="170"/>
      <c r="S34" s="171"/>
      <c r="T34" s="161"/>
      <c r="U34" s="162"/>
      <c r="V34" s="172"/>
      <c r="W34" s="173"/>
      <c r="X34" s="170"/>
      <c r="Y34" s="171"/>
      <c r="Z34" s="161"/>
      <c r="AA34" s="162"/>
      <c r="AB34" s="172"/>
      <c r="AC34" s="173"/>
      <c r="AD34" s="174"/>
      <c r="AE34" s="175"/>
      <c r="AF34" s="133"/>
      <c r="AG34" s="134"/>
    </row>
    <row r="35" spans="1:33" ht="16.5" thickBot="1"/>
    <row r="36" spans="1:33" ht="16.5" thickBot="1">
      <c r="A36" s="77"/>
      <c r="B36" s="77" t="s">
        <v>435</v>
      </c>
      <c r="C36" s="77" t="s">
        <v>436</v>
      </c>
      <c r="D36" s="78"/>
      <c r="E36" s="77" t="s">
        <v>437</v>
      </c>
      <c r="F36" s="77"/>
      <c r="G36" s="77" t="s">
        <v>467</v>
      </c>
    </row>
    <row r="37" spans="1:33" ht="16.5" thickBot="1">
      <c r="A37" s="81"/>
      <c r="B37" s="79" t="s">
        <v>226</v>
      </c>
      <c r="C37" s="139"/>
      <c r="D37" s="146"/>
      <c r="E37" s="139"/>
      <c r="F37" s="16"/>
      <c r="G37" s="16"/>
    </row>
    <row r="38" spans="1:33" ht="16.5" thickBot="1">
      <c r="A38" s="81"/>
      <c r="B38" s="79" t="s">
        <v>227</v>
      </c>
      <c r="C38" s="139"/>
      <c r="D38" s="146"/>
      <c r="E38" s="139"/>
      <c r="F38" s="16"/>
      <c r="G38" s="16"/>
    </row>
    <row r="39" spans="1:33" ht="16.5" thickBot="1">
      <c r="F39" s="16"/>
      <c r="G39" s="16"/>
    </row>
  </sheetData>
  <mergeCells count="181">
    <mergeCell ref="AB5:AC5"/>
    <mergeCell ref="J6:K6"/>
    <mergeCell ref="L6:M6"/>
    <mergeCell ref="P6:Q6"/>
    <mergeCell ref="R6:S6"/>
    <mergeCell ref="V6:W6"/>
    <mergeCell ref="X6:Y6"/>
    <mergeCell ref="AB6:AC6"/>
    <mergeCell ref="J5:K5"/>
    <mergeCell ref="L5:O5"/>
    <mergeCell ref="P5:Q5"/>
    <mergeCell ref="R5:U5"/>
    <mergeCell ref="V5:W5"/>
    <mergeCell ref="X5:AA5"/>
    <mergeCell ref="AB7:AC7"/>
    <mergeCell ref="J8:K8"/>
    <mergeCell ref="L8:M8"/>
    <mergeCell ref="P8:Q8"/>
    <mergeCell ref="R8:S8"/>
    <mergeCell ref="V8:W8"/>
    <mergeCell ref="X8:Y8"/>
    <mergeCell ref="AB8:AC8"/>
    <mergeCell ref="J7:K7"/>
    <mergeCell ref="L7:M7"/>
    <mergeCell ref="P7:Q7"/>
    <mergeCell ref="R7:S7"/>
    <mergeCell ref="V7:W7"/>
    <mergeCell ref="X7:Y7"/>
    <mergeCell ref="A11:A13"/>
    <mergeCell ref="C11:C13"/>
    <mergeCell ref="J11:K11"/>
    <mergeCell ref="L11:M11"/>
    <mergeCell ref="P11:Q11"/>
    <mergeCell ref="AB9:AC9"/>
    <mergeCell ref="AD9:AG9"/>
    <mergeCell ref="J10:K10"/>
    <mergeCell ref="L10:M10"/>
    <mergeCell ref="P10:Q10"/>
    <mergeCell ref="R10:S10"/>
    <mergeCell ref="V10:W10"/>
    <mergeCell ref="X10:Y10"/>
    <mergeCell ref="AB10:AC10"/>
    <mergeCell ref="AD10:AE10"/>
    <mergeCell ref="J9:K9"/>
    <mergeCell ref="L9:O9"/>
    <mergeCell ref="P9:Q9"/>
    <mergeCell ref="R9:U9"/>
    <mergeCell ref="V9:W9"/>
    <mergeCell ref="X9:AA9"/>
    <mergeCell ref="J13:K13"/>
    <mergeCell ref="L13:M13"/>
    <mergeCell ref="P13:Q13"/>
    <mergeCell ref="R13:S13"/>
    <mergeCell ref="V13:W13"/>
    <mergeCell ref="X13:Y13"/>
    <mergeCell ref="AB13:AC13"/>
    <mergeCell ref="R11:S11"/>
    <mergeCell ref="V11:W11"/>
    <mergeCell ref="X11:Y11"/>
    <mergeCell ref="AB11:AC11"/>
    <mergeCell ref="J12:K12"/>
    <mergeCell ref="L12:M12"/>
    <mergeCell ref="P12:Q12"/>
    <mergeCell ref="R12:S12"/>
    <mergeCell ref="V12:W12"/>
    <mergeCell ref="A14:A15"/>
    <mergeCell ref="J14:K14"/>
    <mergeCell ref="P14:Q14"/>
    <mergeCell ref="R14:S14"/>
    <mergeCell ref="V14:W14"/>
    <mergeCell ref="X14:Y14"/>
    <mergeCell ref="AB14:AC14"/>
    <mergeCell ref="AD14:AE14"/>
    <mergeCell ref="J15:K15"/>
    <mergeCell ref="J16:K16"/>
    <mergeCell ref="L16:M16"/>
    <mergeCell ref="P16:Q16"/>
    <mergeCell ref="R16:S16"/>
    <mergeCell ref="V16:W16"/>
    <mergeCell ref="X16:Y16"/>
    <mergeCell ref="AB16:AC16"/>
    <mergeCell ref="AD16:AE16"/>
    <mergeCell ref="L15:M15"/>
    <mergeCell ref="P15:Q15"/>
    <mergeCell ref="R15:S15"/>
    <mergeCell ref="V15:W15"/>
    <mergeCell ref="X15:Y15"/>
    <mergeCell ref="AB15:AC15"/>
    <mergeCell ref="A22:A29"/>
    <mergeCell ref="J22:K22"/>
    <mergeCell ref="L22:M22"/>
    <mergeCell ref="P22:Q22"/>
    <mergeCell ref="R22:S22"/>
    <mergeCell ref="V22:W22"/>
    <mergeCell ref="AB18:AC18"/>
    <mergeCell ref="AD18:AE18"/>
    <mergeCell ref="J20:K20"/>
    <mergeCell ref="L20:M20"/>
    <mergeCell ref="P20:Q20"/>
    <mergeCell ref="R20:S20"/>
    <mergeCell ref="V20:W20"/>
    <mergeCell ref="X20:Y20"/>
    <mergeCell ref="AB20:AC20"/>
    <mergeCell ref="AD20:AE20"/>
    <mergeCell ref="J18:K18"/>
    <mergeCell ref="L18:M18"/>
    <mergeCell ref="P18:Q18"/>
    <mergeCell ref="R18:S18"/>
    <mergeCell ref="V18:W18"/>
    <mergeCell ref="X18:Y18"/>
    <mergeCell ref="B27:B28"/>
    <mergeCell ref="C27:C28"/>
    <mergeCell ref="J27:K27"/>
    <mergeCell ref="L27:M27"/>
    <mergeCell ref="P27:Q27"/>
    <mergeCell ref="R27:S27"/>
    <mergeCell ref="V27:W27"/>
    <mergeCell ref="X23:Y23"/>
    <mergeCell ref="AB23:AC23"/>
    <mergeCell ref="B25:B26"/>
    <mergeCell ref="C25:C26"/>
    <mergeCell ref="J25:K25"/>
    <mergeCell ref="L25:M25"/>
    <mergeCell ref="P25:Q25"/>
    <mergeCell ref="R25:S25"/>
    <mergeCell ref="V25:W25"/>
    <mergeCell ref="B23:B24"/>
    <mergeCell ref="C23:C24"/>
    <mergeCell ref="J23:K23"/>
    <mergeCell ref="L23:M23"/>
    <mergeCell ref="P23:Q23"/>
    <mergeCell ref="R23:S23"/>
    <mergeCell ref="V23:W23"/>
    <mergeCell ref="B12:B13"/>
    <mergeCell ref="A30:A33"/>
    <mergeCell ref="B30:B32"/>
    <mergeCell ref="C30:C32"/>
    <mergeCell ref="J34:K34"/>
    <mergeCell ref="L34:M34"/>
    <mergeCell ref="P34:Q34"/>
    <mergeCell ref="AD28:AE28"/>
    <mergeCell ref="J29:K29"/>
    <mergeCell ref="L29:M29"/>
    <mergeCell ref="P29:Q29"/>
    <mergeCell ref="R29:S29"/>
    <mergeCell ref="V29:W29"/>
    <mergeCell ref="X29:Y29"/>
    <mergeCell ref="AB29:AC29"/>
    <mergeCell ref="AD29:AE29"/>
    <mergeCell ref="X27:Y27"/>
    <mergeCell ref="AB27:AC27"/>
    <mergeCell ref="AD27:AE27"/>
    <mergeCell ref="J28:K28"/>
    <mergeCell ref="L28:M28"/>
    <mergeCell ref="P28:Q28"/>
    <mergeCell ref="R28:S28"/>
    <mergeCell ref="V28:W28"/>
    <mergeCell ref="AD7:AE7"/>
    <mergeCell ref="AD8:AE8"/>
    <mergeCell ref="AD5:AG5"/>
    <mergeCell ref="AD6:AE6"/>
    <mergeCell ref="R34:S34"/>
    <mergeCell ref="V34:W34"/>
    <mergeCell ref="X34:Y34"/>
    <mergeCell ref="AB34:AC34"/>
    <mergeCell ref="AD34:AE34"/>
    <mergeCell ref="X28:Y28"/>
    <mergeCell ref="AB28:AC28"/>
    <mergeCell ref="X25:Y25"/>
    <mergeCell ref="AB25:AC25"/>
    <mergeCell ref="AD25:AE25"/>
    <mergeCell ref="AD23:AE23"/>
    <mergeCell ref="X22:Y22"/>
    <mergeCell ref="AB22:AC22"/>
    <mergeCell ref="AD22:AE22"/>
    <mergeCell ref="AD15:AE15"/>
    <mergeCell ref="AD13:AE13"/>
    <mergeCell ref="X12:Y12"/>
    <mergeCell ref="AB12:AC12"/>
    <mergeCell ref="AD12:AE12"/>
    <mergeCell ref="AD11:AE11"/>
  </mergeCells>
  <pageMargins left="0.7" right="0.7" top="0.78740157499999996" bottom="0.78740157499999996"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9DFCA0D-EF87-41F8-93A5-B001915C3BD9}">
          <x14:formula1>
            <xm:f>Pivot!$F$8:$F$11</xm:f>
          </x14:formula1>
          <xm:sqref>E3</xm:sqref>
        </x14:dataValidation>
      </x14:dataValidations>
    </ext>
    <ext xmlns:x14="http://schemas.microsoft.com/office/spreadsheetml/2009/9/main" uri="{A8765BA9-456A-4dab-B4F3-ACF838C121DE}">
      <x14:slicerList>
        <x14:slicer r:id="rId3"/>
      </x14:slicerList>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9517B-AFE2-47C7-A8EE-CEB46CBB5D6A}">
  <sheetPr>
    <tabColor rgb="FFFFC000"/>
  </sheetPr>
  <dimension ref="A1:AH39"/>
  <sheetViews>
    <sheetView zoomScaleNormal="100" workbookViewId="0">
      <selection activeCell="E4" sqref="E4"/>
    </sheetView>
  </sheetViews>
  <sheetFormatPr baseColWidth="10" defaultColWidth="11.42578125" defaultRowHeight="15.75" outlineLevelCol="2"/>
  <cols>
    <col min="1" max="1" width="19.5703125" style="8" customWidth="1"/>
    <col min="2" max="2" width="11.140625" style="4" customWidth="1"/>
    <col min="3" max="3" width="31" style="4" customWidth="1"/>
    <col min="4" max="4" width="8.85546875" style="5" customWidth="1"/>
    <col min="5" max="5" width="31" style="4" customWidth="1"/>
    <col min="6" max="6" width="18.140625" style="4" hidden="1" customWidth="1" outlineLevel="2"/>
    <col min="7" max="7" width="62.140625" style="4" hidden="1" customWidth="1" outlineLevel="2"/>
    <col min="8" max="8" width="11.42578125" style="4" customWidth="1" outlineLevel="1" collapsed="1"/>
    <col min="9" max="9" width="31.85546875" style="4" customWidth="1" outlineLevel="1"/>
    <col min="10" max="11" width="5.7109375" style="4" customWidth="1"/>
    <col min="12" max="13" width="11.42578125" style="4" hidden="1" customWidth="1" outlineLevel="1"/>
    <col min="14" max="15" width="32" style="4" hidden="1" customWidth="1" outlineLevel="1"/>
    <col min="16" max="16" width="5.7109375" style="4" customWidth="1" collapsed="1"/>
    <col min="17" max="17" width="5.7109375" style="4" customWidth="1"/>
    <col min="18" max="19" width="5.7109375" style="4" hidden="1" customWidth="1" outlineLevel="1"/>
    <col min="20" max="20" width="22.7109375" style="4" hidden="1" customWidth="1" outlineLevel="1"/>
    <col min="21" max="21" width="25.42578125" style="4" hidden="1" customWidth="1" outlineLevel="1"/>
    <col min="22" max="22" width="5.7109375" style="4" customWidth="1" collapsed="1"/>
    <col min="23" max="23" width="5.7109375" style="4" customWidth="1"/>
    <col min="24" max="25" width="5.7109375" style="4" hidden="1" customWidth="1" outlineLevel="1"/>
    <col min="26" max="26" width="22.7109375" style="4" hidden="1" customWidth="1" outlineLevel="1"/>
    <col min="27" max="27" width="25.42578125" style="4" hidden="1" customWidth="1" outlineLevel="1"/>
    <col min="28" max="28" width="5.7109375" style="4" customWidth="1" collapsed="1"/>
    <col min="29" max="29" width="5.7109375" style="4" customWidth="1"/>
    <col min="30" max="31" width="5.7109375" style="4" hidden="1" customWidth="1" outlineLevel="1"/>
    <col min="32" max="32" width="22.7109375" style="4" hidden="1" customWidth="1" outlineLevel="1"/>
    <col min="33" max="33" width="25.42578125" style="4" hidden="1" customWidth="1" outlineLevel="1"/>
    <col min="34" max="34" width="11.42578125" style="4" collapsed="1"/>
    <col min="35" max="16384" width="11.42578125" style="4"/>
  </cols>
  <sheetData>
    <row r="1" spans="1:33" ht="19.5" thickBot="1">
      <c r="A1" s="3" t="s">
        <v>521</v>
      </c>
    </row>
    <row r="2" spans="1:33" ht="16.5" thickBot="1">
      <c r="A2" s="101" t="str">
        <f>Haupttabelle[[#Headers],[Land]]</f>
        <v>Land</v>
      </c>
      <c r="B2" s="101" t="str">
        <f>Haupttabelle[[#Headers],[Projekt]]</f>
        <v>Projekt</v>
      </c>
      <c r="C2" s="101" t="str">
        <f>Haupttabelle[[#Headers],[Teilprojekt]]</f>
        <v>Teilprojekt</v>
      </c>
      <c r="D2" s="101" t="str">
        <f>Haupttabelle[[#Headers],[Name]]</f>
        <v>Name</v>
      </c>
      <c r="E2" s="101" t="str">
        <f>Haupttabelle[[#Headers],[Schwerpunkt]]</f>
        <v>Schwerpunkt</v>
      </c>
    </row>
    <row r="3" spans="1:33" ht="54" customHeight="1" thickBot="1">
      <c r="A3" s="7" t="str">
        <f>IF(Pivot!B3="(Alle)","",Pivot!B3)</f>
        <v/>
      </c>
      <c r="B3" s="7" t="str">
        <f>IF(Pivot!B4="(Alle)","",Pivot!B4)</f>
        <v/>
      </c>
      <c r="C3" s="7" t="str">
        <f>IF(Pivot!B5="(Alle)","",Pivot!B5)</f>
        <v/>
      </c>
      <c r="D3" s="48" t="str">
        <f>IF(Pivot!B2="(Alle)","",Pivot!B2)</f>
        <v/>
      </c>
      <c r="E3" s="7" t="s">
        <v>82</v>
      </c>
    </row>
    <row r="4" spans="1:33" ht="39" customHeight="1" thickBot="1"/>
    <row r="5" spans="1:33" ht="16.5" thickBot="1">
      <c r="J5" s="238" t="s">
        <v>179</v>
      </c>
      <c r="K5" s="239"/>
      <c r="L5" s="165" t="s">
        <v>180</v>
      </c>
      <c r="M5" s="166"/>
      <c r="N5" s="166"/>
      <c r="O5" s="167"/>
      <c r="P5" s="238" t="s">
        <v>179</v>
      </c>
      <c r="Q5" s="239"/>
      <c r="R5" s="165" t="s">
        <v>181</v>
      </c>
      <c r="S5" s="166"/>
      <c r="T5" s="166"/>
      <c r="U5" s="167"/>
      <c r="V5" s="238" t="s">
        <v>179</v>
      </c>
      <c r="W5" s="239"/>
      <c r="X5" s="165" t="s">
        <v>182</v>
      </c>
      <c r="Y5" s="166"/>
      <c r="Z5" s="166"/>
      <c r="AA5" s="167"/>
      <c r="AB5" s="238" t="s">
        <v>179</v>
      </c>
      <c r="AC5" s="239"/>
      <c r="AD5" s="165" t="s">
        <v>187</v>
      </c>
      <c r="AE5" s="166"/>
      <c r="AF5" s="166"/>
      <c r="AG5" s="167"/>
    </row>
    <row r="6" spans="1:33" ht="48" thickBot="1">
      <c r="A6" s="101"/>
      <c r="B6" s="101" t="s">
        <v>372</v>
      </c>
      <c r="C6" s="101" t="s">
        <v>373</v>
      </c>
      <c r="D6" s="102" t="s">
        <v>374</v>
      </c>
      <c r="E6" s="101" t="s">
        <v>375</v>
      </c>
      <c r="F6" s="101"/>
      <c r="G6" s="101"/>
      <c r="H6" s="101" t="s">
        <v>376</v>
      </c>
      <c r="I6" s="102" t="s">
        <v>377</v>
      </c>
      <c r="J6" s="238" t="s">
        <v>378</v>
      </c>
      <c r="K6" s="239"/>
      <c r="L6" s="230" t="s">
        <v>379</v>
      </c>
      <c r="M6" s="231"/>
      <c r="N6" s="106" t="s">
        <v>380</v>
      </c>
      <c r="O6" s="107" t="s">
        <v>381</v>
      </c>
      <c r="P6" s="238" t="s">
        <v>382</v>
      </c>
      <c r="Q6" s="239"/>
      <c r="R6" s="230" t="s">
        <v>383</v>
      </c>
      <c r="S6" s="231"/>
      <c r="T6" s="106" t="s">
        <v>380</v>
      </c>
      <c r="U6" s="107" t="s">
        <v>381</v>
      </c>
      <c r="V6" s="238" t="s">
        <v>384</v>
      </c>
      <c r="W6" s="239"/>
      <c r="X6" s="230" t="s">
        <v>385</v>
      </c>
      <c r="Y6" s="231"/>
      <c r="Z6" s="106" t="s">
        <v>380</v>
      </c>
      <c r="AA6" s="107" t="s">
        <v>381</v>
      </c>
      <c r="AB6" s="238" t="s">
        <v>386</v>
      </c>
      <c r="AC6" s="239"/>
      <c r="AD6" s="230" t="s">
        <v>387</v>
      </c>
      <c r="AE6" s="231"/>
      <c r="AF6" s="106" t="s">
        <v>380</v>
      </c>
      <c r="AG6" s="107" t="s">
        <v>381</v>
      </c>
    </row>
    <row r="7" spans="1:33" ht="16.5" thickBot="1">
      <c r="A7" s="103"/>
      <c r="B7" s="104" t="s">
        <v>183</v>
      </c>
      <c r="C7" s="139"/>
      <c r="D7" s="105" t="s">
        <v>184</v>
      </c>
      <c r="E7" s="139"/>
      <c r="F7" s="140"/>
      <c r="G7" s="140"/>
      <c r="H7" s="139"/>
      <c r="I7" s="139"/>
      <c r="J7" s="172"/>
      <c r="K7" s="173"/>
      <c r="L7" s="178"/>
      <c r="M7" s="179"/>
      <c r="N7" s="141"/>
      <c r="O7" s="142"/>
      <c r="P7" s="172"/>
      <c r="Q7" s="173"/>
      <c r="R7" s="178"/>
      <c r="S7" s="179"/>
      <c r="T7" s="141"/>
      <c r="U7" s="142"/>
      <c r="V7" s="172"/>
      <c r="W7" s="173"/>
      <c r="X7" s="178"/>
      <c r="Y7" s="179"/>
      <c r="Z7" s="141"/>
      <c r="AA7" s="142"/>
      <c r="AB7" s="172"/>
      <c r="AC7" s="173"/>
      <c r="AD7" s="176"/>
      <c r="AE7" s="177"/>
      <c r="AF7" s="125"/>
      <c r="AG7" s="126"/>
    </row>
    <row r="8" spans="1:33" ht="16.5" thickBot="1">
      <c r="A8" s="103"/>
      <c r="B8" s="104" t="s">
        <v>185</v>
      </c>
      <c r="C8" s="139"/>
      <c r="D8" s="105" t="s">
        <v>186</v>
      </c>
      <c r="E8" s="139"/>
      <c r="F8" s="140"/>
      <c r="G8" s="140"/>
      <c r="H8" s="139"/>
      <c r="I8" s="139"/>
      <c r="J8" s="172"/>
      <c r="K8" s="173"/>
      <c r="L8" s="178"/>
      <c r="M8" s="179"/>
      <c r="N8" s="141"/>
      <c r="O8" s="142"/>
      <c r="P8" s="172"/>
      <c r="Q8" s="173"/>
      <c r="R8" s="178"/>
      <c r="S8" s="179"/>
      <c r="T8" s="141"/>
      <c r="U8" s="142"/>
      <c r="V8" s="172"/>
      <c r="W8" s="173"/>
      <c r="X8" s="178"/>
      <c r="Y8" s="179"/>
      <c r="Z8" s="141"/>
      <c r="AA8" s="142"/>
      <c r="AB8" s="172"/>
      <c r="AC8" s="173"/>
      <c r="AD8" s="176"/>
      <c r="AE8" s="177"/>
      <c r="AF8" s="125"/>
      <c r="AG8" s="126"/>
    </row>
    <row r="9" spans="1:33" ht="16.5" thickBot="1">
      <c r="J9" s="238" t="s">
        <v>179</v>
      </c>
      <c r="K9" s="239"/>
      <c r="L9" s="165" t="s">
        <v>180</v>
      </c>
      <c r="M9" s="166"/>
      <c r="N9" s="166"/>
      <c r="O9" s="167"/>
      <c r="P9" s="238" t="s">
        <v>179</v>
      </c>
      <c r="Q9" s="239"/>
      <c r="R9" s="165" t="s">
        <v>181</v>
      </c>
      <c r="S9" s="166"/>
      <c r="T9" s="166"/>
      <c r="U9" s="167"/>
      <c r="V9" s="238" t="s">
        <v>179</v>
      </c>
      <c r="W9" s="239"/>
      <c r="X9" s="165" t="s">
        <v>182</v>
      </c>
      <c r="Y9" s="166"/>
      <c r="Z9" s="166"/>
      <c r="AA9" s="167"/>
      <c r="AB9" s="238" t="s">
        <v>179</v>
      </c>
      <c r="AC9" s="239"/>
      <c r="AD9" s="165" t="s">
        <v>187</v>
      </c>
      <c r="AE9" s="166"/>
      <c r="AF9" s="166"/>
      <c r="AG9" s="167"/>
    </row>
    <row r="10" spans="1:33" ht="79.5" thickBot="1">
      <c r="A10" s="101" t="s">
        <v>388</v>
      </c>
      <c r="B10" s="101" t="s">
        <v>389</v>
      </c>
      <c r="C10" s="101" t="s">
        <v>390</v>
      </c>
      <c r="D10" s="102" t="s">
        <v>391</v>
      </c>
      <c r="E10" s="101" t="s">
        <v>375</v>
      </c>
      <c r="F10" s="101" t="s">
        <v>190</v>
      </c>
      <c r="G10" s="101" t="s">
        <v>191</v>
      </c>
      <c r="H10" s="101" t="s">
        <v>376</v>
      </c>
      <c r="I10" s="102" t="s">
        <v>377</v>
      </c>
      <c r="J10" s="238" t="s">
        <v>378</v>
      </c>
      <c r="K10" s="239"/>
      <c r="L10" s="230" t="s">
        <v>379</v>
      </c>
      <c r="M10" s="231"/>
      <c r="N10" s="106" t="s">
        <v>380</v>
      </c>
      <c r="O10" s="107" t="s">
        <v>381</v>
      </c>
      <c r="P10" s="238" t="s">
        <v>382</v>
      </c>
      <c r="Q10" s="239"/>
      <c r="R10" s="230" t="s">
        <v>383</v>
      </c>
      <c r="S10" s="231"/>
      <c r="T10" s="106" t="s">
        <v>380</v>
      </c>
      <c r="U10" s="107" t="s">
        <v>381</v>
      </c>
      <c r="V10" s="238" t="s">
        <v>384</v>
      </c>
      <c r="W10" s="239"/>
      <c r="X10" s="230" t="s">
        <v>385</v>
      </c>
      <c r="Y10" s="231"/>
      <c r="Z10" s="106" t="s">
        <v>380</v>
      </c>
      <c r="AA10" s="107" t="s">
        <v>381</v>
      </c>
      <c r="AB10" s="238" t="s">
        <v>386</v>
      </c>
      <c r="AC10" s="239"/>
      <c r="AD10" s="230" t="s">
        <v>387</v>
      </c>
      <c r="AE10" s="231"/>
      <c r="AF10" s="106" t="s">
        <v>380</v>
      </c>
      <c r="AG10" s="107" t="s">
        <v>381</v>
      </c>
    </row>
    <row r="11" spans="1:33" ht="60.75" thickBot="1">
      <c r="A11" s="240" t="s">
        <v>392</v>
      </c>
      <c r="B11" s="108" t="s">
        <v>188</v>
      </c>
      <c r="C11" s="241" t="s">
        <v>501</v>
      </c>
      <c r="D11" s="109" t="s">
        <v>189</v>
      </c>
      <c r="E11" s="108" t="s">
        <v>394</v>
      </c>
      <c r="F11" s="110">
        <v>0.1</v>
      </c>
      <c r="G11" s="111" t="s">
        <v>440</v>
      </c>
      <c r="H11" s="139"/>
      <c r="I11" s="139"/>
      <c r="J11" s="172"/>
      <c r="K11" s="173"/>
      <c r="L11" s="202">
        <f>DSUM(Haupttabelle[#All],Main!Z1,A2:E3)/DCOUNT(Haupttabelle[#All],Main!Z1,A2:E3)/100</f>
        <v>0.2</v>
      </c>
      <c r="M11" s="203"/>
      <c r="N11" s="147" t="str">
        <f>CONCATENATE("Moyenne de ",DCOUNT(Haupttabelle[#All],Main!Z1,A2:E3)," valeur(s)")</f>
        <v>Moyenne de 1 valeur(s)</v>
      </c>
      <c r="O11" s="148"/>
      <c r="P11" s="172"/>
      <c r="Q11" s="173"/>
      <c r="R11" s="178"/>
      <c r="S11" s="179"/>
      <c r="T11" s="141"/>
      <c r="U11" s="142"/>
      <c r="V11" s="172"/>
      <c r="W11" s="173"/>
      <c r="X11" s="178"/>
      <c r="Y11" s="179"/>
      <c r="Z11" s="141"/>
      <c r="AA11" s="142"/>
      <c r="AB11" s="172"/>
      <c r="AC11" s="173"/>
      <c r="AD11" s="176"/>
      <c r="AE11" s="177"/>
      <c r="AF11" s="125"/>
      <c r="AG11" s="126"/>
    </row>
    <row r="12" spans="1:33" ht="45.75" customHeight="1" thickBot="1">
      <c r="A12" s="240"/>
      <c r="B12" s="232"/>
      <c r="C12" s="241"/>
      <c r="D12" s="109" t="s">
        <v>192</v>
      </c>
      <c r="E12" s="108" t="s">
        <v>395</v>
      </c>
      <c r="F12" s="112" t="s">
        <v>441</v>
      </c>
      <c r="G12" s="108" t="s">
        <v>442</v>
      </c>
      <c r="H12" s="139"/>
      <c r="I12" s="139"/>
      <c r="J12" s="172"/>
      <c r="K12" s="173"/>
      <c r="L12" s="186">
        <f>GETPIVOTDATA("group_I_10b_Personelle_Abhaeng/Verantwortung_uebernommen",Pivot!$A$7,"Schwerpunkt","theologische_Bildung_und_Praxis")</f>
        <v>2</v>
      </c>
      <c r="M12" s="187"/>
      <c r="N12" s="147" t="s">
        <v>541</v>
      </c>
      <c r="O12" s="148"/>
      <c r="P12" s="172"/>
      <c r="Q12" s="173"/>
      <c r="R12" s="178"/>
      <c r="S12" s="179"/>
      <c r="T12" s="141"/>
      <c r="U12" s="142"/>
      <c r="V12" s="172"/>
      <c r="W12" s="173"/>
      <c r="X12" s="178"/>
      <c r="Y12" s="179"/>
      <c r="Z12" s="141"/>
      <c r="AA12" s="142"/>
      <c r="AB12" s="172"/>
      <c r="AC12" s="173"/>
      <c r="AD12" s="176"/>
      <c r="AE12" s="177"/>
      <c r="AF12" s="125"/>
      <c r="AG12" s="126"/>
    </row>
    <row r="13" spans="1:33" ht="45.75" customHeight="1" thickBot="1">
      <c r="A13" s="240"/>
      <c r="B13" s="232"/>
      <c r="C13" s="241"/>
      <c r="D13" s="109" t="s">
        <v>193</v>
      </c>
      <c r="E13" s="108" t="s">
        <v>396</v>
      </c>
      <c r="F13" s="112">
        <v>2</v>
      </c>
      <c r="G13" s="108" t="s">
        <v>522</v>
      </c>
      <c r="H13" s="139"/>
      <c r="I13" s="139"/>
      <c r="J13" s="172"/>
      <c r="K13" s="173"/>
      <c r="L13" s="186">
        <f>DCOUNTA(group_I_10c_Neue_Angebote[#All],I_10c!F1,A2:E3)</f>
        <v>2</v>
      </c>
      <c r="M13" s="187"/>
      <c r="N13" s="147"/>
      <c r="O13" s="148"/>
      <c r="P13" s="172"/>
      <c r="Q13" s="173"/>
      <c r="R13" s="178"/>
      <c r="S13" s="179"/>
      <c r="T13" s="141"/>
      <c r="U13" s="142"/>
      <c r="V13" s="172"/>
      <c r="W13" s="173"/>
      <c r="X13" s="178"/>
      <c r="Y13" s="179"/>
      <c r="Z13" s="141"/>
      <c r="AA13" s="142"/>
      <c r="AB13" s="172"/>
      <c r="AC13" s="173"/>
      <c r="AD13" s="176"/>
      <c r="AE13" s="177"/>
      <c r="AF13" s="125"/>
      <c r="AG13" s="126"/>
    </row>
    <row r="14" spans="1:33" ht="45.75" thickBot="1">
      <c r="A14" s="233" t="s">
        <v>397</v>
      </c>
      <c r="B14" s="113" t="s">
        <v>194</v>
      </c>
      <c r="C14" s="113" t="s">
        <v>523</v>
      </c>
      <c r="D14" s="114" t="s">
        <v>329</v>
      </c>
      <c r="E14" s="113" t="s">
        <v>524</v>
      </c>
      <c r="F14" s="115">
        <v>2</v>
      </c>
      <c r="G14" s="113" t="s">
        <v>525</v>
      </c>
      <c r="H14" s="139"/>
      <c r="I14" s="146"/>
      <c r="J14" s="172"/>
      <c r="K14" s="173"/>
      <c r="L14" s="25">
        <f>GETPIVOTDATA("Summe von group_I_20_Verantw_uebernommen/Anzahl_Jungen_Maenner_I20",Pivot!$F$7,"Schwerpunkt","theologische_Bildung_und_Praxis")</f>
        <v>7</v>
      </c>
      <c r="M14" s="26">
        <f>GETPIVOTDATA("Summe von group_I_20_Verantw_uebernommen/Anzahl_Maedchen_Frauen_I20",Pivot!$F$7,"Schwerpunkt","theologische_Bildung_und_Praxis")</f>
        <v>7</v>
      </c>
      <c r="N14" s="147"/>
      <c r="O14" s="148"/>
      <c r="P14" s="172"/>
      <c r="Q14" s="173"/>
      <c r="R14" s="178"/>
      <c r="S14" s="179"/>
      <c r="T14" s="141"/>
      <c r="U14" s="142"/>
      <c r="V14" s="172"/>
      <c r="W14" s="173"/>
      <c r="X14" s="178"/>
      <c r="Y14" s="179"/>
      <c r="Z14" s="141"/>
      <c r="AA14" s="142"/>
      <c r="AB14" s="172"/>
      <c r="AC14" s="173"/>
      <c r="AD14" s="176"/>
      <c r="AE14" s="177"/>
      <c r="AF14" s="125"/>
      <c r="AG14" s="126"/>
    </row>
    <row r="15" spans="1:33" ht="45.75" customHeight="1" thickBot="1">
      <c r="A15" s="233"/>
      <c r="B15" s="113" t="s">
        <v>196</v>
      </c>
      <c r="C15" s="113" t="s">
        <v>476</v>
      </c>
      <c r="D15" s="114" t="s">
        <v>352</v>
      </c>
      <c r="E15" s="113" t="s">
        <v>401</v>
      </c>
      <c r="F15" s="115">
        <v>5</v>
      </c>
      <c r="G15" s="113" t="s">
        <v>477</v>
      </c>
      <c r="H15" s="139"/>
      <c r="I15" s="146"/>
      <c r="J15" s="172"/>
      <c r="K15" s="173"/>
      <c r="L15" s="186">
        <f>DCOUNTA(Haupttabelle[#All],Main!AG1,A2:E3)</f>
        <v>2</v>
      </c>
      <c r="M15" s="187"/>
      <c r="N15" s="147"/>
      <c r="O15" s="148"/>
      <c r="P15" s="172"/>
      <c r="Q15" s="173"/>
      <c r="R15" s="178"/>
      <c r="S15" s="179"/>
      <c r="T15" s="141"/>
      <c r="U15" s="142"/>
      <c r="V15" s="172"/>
      <c r="W15" s="173"/>
      <c r="X15" s="178"/>
      <c r="Y15" s="179"/>
      <c r="Z15" s="141"/>
      <c r="AA15" s="142"/>
      <c r="AB15" s="172"/>
      <c r="AC15" s="173"/>
      <c r="AD15" s="176"/>
      <c r="AE15" s="177"/>
      <c r="AF15" s="125"/>
      <c r="AG15" s="126"/>
    </row>
    <row r="16" spans="1:33" ht="75.75" thickBot="1">
      <c r="A16" s="116" t="s">
        <v>402</v>
      </c>
      <c r="B16" s="117" t="s">
        <v>198</v>
      </c>
      <c r="C16" s="117" t="s">
        <v>526</v>
      </c>
      <c r="D16" s="118" t="s">
        <v>199</v>
      </c>
      <c r="E16" s="117" t="s">
        <v>404</v>
      </c>
      <c r="F16" s="119" t="s">
        <v>441</v>
      </c>
      <c r="G16" s="117" t="s">
        <v>527</v>
      </c>
      <c r="H16" s="139"/>
      <c r="I16" s="146"/>
      <c r="J16" s="172"/>
      <c r="K16" s="173"/>
      <c r="L16" s="186">
        <f>DCOUNTA(Haupttabelle[#All],Main!AJ1,A2:E3)</f>
        <v>1</v>
      </c>
      <c r="M16" s="187"/>
      <c r="N16" s="147"/>
      <c r="O16" s="148"/>
      <c r="P16" s="172"/>
      <c r="Q16" s="173"/>
      <c r="R16" s="178"/>
      <c r="S16" s="179"/>
      <c r="T16" s="141"/>
      <c r="U16" s="142"/>
      <c r="V16" s="172"/>
      <c r="W16" s="173"/>
      <c r="X16" s="178"/>
      <c r="Y16" s="179"/>
      <c r="Z16" s="141"/>
      <c r="AA16" s="142"/>
      <c r="AB16" s="172"/>
      <c r="AC16" s="173"/>
      <c r="AD16" s="176"/>
      <c r="AE16" s="177"/>
      <c r="AF16" s="125"/>
      <c r="AG16" s="126"/>
    </row>
    <row r="17" spans="1:34" ht="13.5" customHeight="1" thickBot="1">
      <c r="A17" s="31"/>
      <c r="B17" s="32"/>
      <c r="C17" s="32"/>
      <c r="D17" s="33"/>
      <c r="E17" s="32"/>
      <c r="F17" s="32"/>
      <c r="G17" s="32"/>
    </row>
    <row r="18" spans="1:34" ht="79.5" thickBot="1">
      <c r="A18" s="101" t="s">
        <v>481</v>
      </c>
      <c r="B18" s="101" t="s">
        <v>482</v>
      </c>
      <c r="C18" s="101" t="s">
        <v>483</v>
      </c>
      <c r="D18" s="102" t="s">
        <v>391</v>
      </c>
      <c r="E18" s="101" t="s">
        <v>375</v>
      </c>
      <c r="F18" s="101" t="s">
        <v>438</v>
      </c>
      <c r="G18" s="101" t="s">
        <v>439</v>
      </c>
      <c r="H18" s="101" t="s">
        <v>376</v>
      </c>
      <c r="I18" s="102" t="s">
        <v>377</v>
      </c>
      <c r="J18" s="238" t="s">
        <v>378</v>
      </c>
      <c r="K18" s="239"/>
      <c r="L18" s="230" t="s">
        <v>379</v>
      </c>
      <c r="M18" s="231"/>
      <c r="N18" s="106" t="s">
        <v>380</v>
      </c>
      <c r="O18" s="107" t="s">
        <v>381</v>
      </c>
      <c r="P18" s="238" t="s">
        <v>382</v>
      </c>
      <c r="Q18" s="239"/>
      <c r="R18" s="230" t="s">
        <v>383</v>
      </c>
      <c r="S18" s="231"/>
      <c r="T18" s="106" t="s">
        <v>380</v>
      </c>
      <c r="U18" s="107" t="s">
        <v>381</v>
      </c>
      <c r="V18" s="238" t="s">
        <v>384</v>
      </c>
      <c r="W18" s="239"/>
      <c r="X18" s="230" t="s">
        <v>385</v>
      </c>
      <c r="Y18" s="231"/>
      <c r="Z18" s="106" t="s">
        <v>380</v>
      </c>
      <c r="AA18" s="107" t="s">
        <v>381</v>
      </c>
      <c r="AB18" s="238" t="s">
        <v>386</v>
      </c>
      <c r="AC18" s="239"/>
      <c r="AD18" s="230" t="s">
        <v>387</v>
      </c>
      <c r="AE18" s="231"/>
      <c r="AF18" s="106" t="s">
        <v>380</v>
      </c>
      <c r="AG18" s="107" t="s">
        <v>381</v>
      </c>
    </row>
    <row r="19" spans="1:34" ht="16.5" thickBot="1">
      <c r="A19" s="101"/>
      <c r="B19" s="101"/>
      <c r="C19" s="101"/>
      <c r="D19" s="102"/>
      <c r="E19" s="101"/>
      <c r="F19" s="101"/>
      <c r="G19" s="101"/>
      <c r="H19" s="101"/>
      <c r="I19" s="102"/>
      <c r="J19" s="121" t="s">
        <v>468</v>
      </c>
      <c r="K19" s="121" t="s">
        <v>126</v>
      </c>
      <c r="L19" s="122" t="s">
        <v>468</v>
      </c>
      <c r="M19" s="123" t="s">
        <v>126</v>
      </c>
      <c r="N19" s="123"/>
      <c r="O19" s="124"/>
      <c r="P19" s="121" t="s">
        <v>468</v>
      </c>
      <c r="Q19" s="121" t="s">
        <v>126</v>
      </c>
      <c r="R19" s="122" t="s">
        <v>468</v>
      </c>
      <c r="S19" s="123" t="s">
        <v>126</v>
      </c>
      <c r="T19" s="123"/>
      <c r="U19" s="124"/>
      <c r="V19" s="121" t="s">
        <v>468</v>
      </c>
      <c r="W19" s="121" t="s">
        <v>126</v>
      </c>
      <c r="X19" s="122" t="s">
        <v>468</v>
      </c>
      <c r="Y19" s="123" t="s">
        <v>126</v>
      </c>
      <c r="Z19" s="123"/>
      <c r="AA19" s="124"/>
      <c r="AB19" s="121" t="s">
        <v>468</v>
      </c>
      <c r="AC19" s="121" t="s">
        <v>126</v>
      </c>
      <c r="AD19" s="122" t="s">
        <v>468</v>
      </c>
      <c r="AE19" s="123" t="s">
        <v>126</v>
      </c>
      <c r="AF19" s="123"/>
      <c r="AG19" s="124"/>
    </row>
    <row r="20" spans="1:34" ht="45" customHeight="1" thickBot="1">
      <c r="A20" s="103" t="s">
        <v>405</v>
      </c>
      <c r="B20" s="104" t="s">
        <v>200</v>
      </c>
      <c r="C20" s="104" t="s">
        <v>406</v>
      </c>
      <c r="D20" s="105" t="s">
        <v>201</v>
      </c>
      <c r="E20" s="104" t="s">
        <v>407</v>
      </c>
      <c r="F20" s="120"/>
      <c r="G20" s="104" t="s">
        <v>447</v>
      </c>
      <c r="H20" s="146"/>
      <c r="I20" s="139"/>
      <c r="J20" s="172"/>
      <c r="K20" s="173"/>
      <c r="L20" s="194">
        <f>DCOUNTA(group_I_40_Partnerorg[#All],I_40!F1,A2:E3)</f>
        <v>2</v>
      </c>
      <c r="M20" s="195"/>
      <c r="N20" s="149"/>
      <c r="O20" s="149"/>
      <c r="P20" s="172"/>
      <c r="Q20" s="173"/>
      <c r="R20" s="196"/>
      <c r="S20" s="197"/>
      <c r="T20" s="150"/>
      <c r="U20" s="151"/>
      <c r="V20" s="172"/>
      <c r="W20" s="173"/>
      <c r="X20" s="196"/>
      <c r="Y20" s="197"/>
      <c r="Z20" s="150"/>
      <c r="AA20" s="151"/>
      <c r="AB20" s="172"/>
      <c r="AC20" s="173"/>
      <c r="AD20" s="198"/>
      <c r="AE20" s="199"/>
      <c r="AF20" s="127"/>
      <c r="AG20" s="128"/>
    </row>
    <row r="21" spans="1:34" ht="90.75" thickBot="1">
      <c r="A21" s="103" t="s">
        <v>408</v>
      </c>
      <c r="B21" s="104" t="s">
        <v>202</v>
      </c>
      <c r="C21" s="104" t="s">
        <v>409</v>
      </c>
      <c r="D21" s="105" t="s">
        <v>203</v>
      </c>
      <c r="E21" s="104" t="s">
        <v>410</v>
      </c>
      <c r="F21" s="120" t="s">
        <v>448</v>
      </c>
      <c r="G21" s="104" t="s">
        <v>449</v>
      </c>
      <c r="H21" s="146"/>
      <c r="I21" s="139"/>
      <c r="J21" s="146"/>
      <c r="K21" s="146"/>
      <c r="L21" s="40">
        <f>DSUM(group_I_41_Einsatzleistende[#All],group_I_41_Einsatzleistende[[#Headers],[Anzahl M]],A2:E3)</f>
        <v>1</v>
      </c>
      <c r="M21" s="41">
        <f>DSUM(group_I_41_Einsatzleistende[#All],group_I_41_Einsatzleistende[[#Headers],[Anzahl F]],A2:E3)</f>
        <v>1</v>
      </c>
      <c r="N21" s="149"/>
      <c r="O21" s="149"/>
      <c r="P21" s="146"/>
      <c r="Q21" s="146"/>
      <c r="R21" s="152"/>
      <c r="S21" s="150"/>
      <c r="T21" s="150"/>
      <c r="U21" s="151"/>
      <c r="V21" s="146"/>
      <c r="W21" s="146"/>
      <c r="X21" s="152"/>
      <c r="Y21" s="150"/>
      <c r="Z21" s="150"/>
      <c r="AA21" s="151"/>
      <c r="AB21" s="146"/>
      <c r="AC21" s="146"/>
      <c r="AD21" s="129"/>
      <c r="AE21" s="127"/>
      <c r="AF21" s="127"/>
      <c r="AG21" s="128"/>
    </row>
    <row r="22" spans="1:34" ht="57.75" customHeight="1" thickBot="1">
      <c r="A22" s="237" t="s">
        <v>411</v>
      </c>
      <c r="B22" s="108" t="s">
        <v>204</v>
      </c>
      <c r="C22" s="108" t="s">
        <v>508</v>
      </c>
      <c r="D22" s="108" t="s">
        <v>205</v>
      </c>
      <c r="E22" s="108" t="s">
        <v>413</v>
      </c>
      <c r="F22" s="112">
        <v>2</v>
      </c>
      <c r="G22" s="108" t="s">
        <v>450</v>
      </c>
      <c r="H22" s="139"/>
      <c r="I22" s="139"/>
      <c r="J22" s="172"/>
      <c r="K22" s="173"/>
      <c r="L22" s="186">
        <f>DCOUNTA(group_I_50_strukt_Veraend[#All],I_50!F1,A2:E3)</f>
        <v>2</v>
      </c>
      <c r="M22" s="187"/>
      <c r="N22" s="148"/>
      <c r="O22" s="148"/>
      <c r="P22" s="172"/>
      <c r="Q22" s="173"/>
      <c r="R22" s="178"/>
      <c r="S22" s="179"/>
      <c r="T22" s="141"/>
      <c r="U22" s="142"/>
      <c r="V22" s="172"/>
      <c r="W22" s="173"/>
      <c r="X22" s="178"/>
      <c r="Y22" s="179"/>
      <c r="Z22" s="141"/>
      <c r="AA22" s="142"/>
      <c r="AB22" s="172"/>
      <c r="AC22" s="173"/>
      <c r="AD22" s="176"/>
      <c r="AE22" s="177"/>
      <c r="AF22" s="125"/>
      <c r="AG22" s="126"/>
    </row>
    <row r="23" spans="1:34" ht="60.75" customHeight="1" thickBot="1">
      <c r="A23" s="237"/>
      <c r="B23" s="232" t="s">
        <v>206</v>
      </c>
      <c r="C23" s="232" t="s">
        <v>414</v>
      </c>
      <c r="D23" s="108" t="s">
        <v>207</v>
      </c>
      <c r="E23" s="108" t="s">
        <v>415</v>
      </c>
      <c r="F23" s="112">
        <v>1</v>
      </c>
      <c r="G23" s="108" t="s">
        <v>451</v>
      </c>
      <c r="H23" s="139"/>
      <c r="I23" s="139"/>
      <c r="J23" s="172"/>
      <c r="K23" s="173"/>
      <c r="L23" s="186">
        <f>DCOUNTA(group_I_51_WB_Admin[#All],I_51!F1,A2:E3)</f>
        <v>2</v>
      </c>
      <c r="M23" s="187"/>
      <c r="N23" s="148" t="str">
        <f>CONCATENATE("Nombre de jours: ",DSUM(group_I_51_WB_Admin[#All],group_I_51_WB_Admin[[#Headers],[group_I_51_WB_Admin/Anzahl_Tage_WB_Coaching_I51]],A2:E3))</f>
        <v>Nombre de jours: 9</v>
      </c>
      <c r="O23" s="148"/>
      <c r="P23" s="172"/>
      <c r="Q23" s="173"/>
      <c r="R23" s="178"/>
      <c r="S23" s="179"/>
      <c r="T23" s="141"/>
      <c r="U23" s="142"/>
      <c r="V23" s="172"/>
      <c r="W23" s="173"/>
      <c r="X23" s="178"/>
      <c r="Y23" s="179"/>
      <c r="Z23" s="141"/>
      <c r="AA23" s="142"/>
      <c r="AB23" s="172"/>
      <c r="AC23" s="173"/>
      <c r="AD23" s="176"/>
      <c r="AE23" s="177"/>
      <c r="AF23" s="125"/>
      <c r="AG23" s="126"/>
    </row>
    <row r="24" spans="1:34" ht="45.75" customHeight="1" thickBot="1">
      <c r="A24" s="237"/>
      <c r="B24" s="232"/>
      <c r="C24" s="232"/>
      <c r="D24" s="108" t="s">
        <v>208</v>
      </c>
      <c r="E24" s="108" t="s">
        <v>416</v>
      </c>
      <c r="F24" s="112" t="s">
        <v>452</v>
      </c>
      <c r="G24" s="108" t="s">
        <v>453</v>
      </c>
      <c r="H24" s="139"/>
      <c r="I24" s="139"/>
      <c r="J24" s="139"/>
      <c r="K24" s="139"/>
      <c r="L24" s="25">
        <f>DSUM(group_I_51_WB_Admin[#All],group_I_51_WB_Admin[[#Headers],[group_I_51_WB_Admin/I_51b_Anzahl_beg_Maenner]],A2:E3)</f>
        <v>9</v>
      </c>
      <c r="M24" s="26">
        <f>DSUM(group_I_51_WB_Admin[#All],group_I_51_WB_Admin[[#Headers],[group_I_51_WB_Admin/I_51b_Anzahl_beg_Frauen]],A2:E3)</f>
        <v>9</v>
      </c>
      <c r="N24" s="153"/>
      <c r="O24" s="153"/>
      <c r="P24" s="139"/>
      <c r="Q24" s="139"/>
      <c r="R24" s="154"/>
      <c r="S24" s="155"/>
      <c r="T24" s="155"/>
      <c r="U24" s="156"/>
      <c r="V24" s="139"/>
      <c r="W24" s="139"/>
      <c r="X24" s="154"/>
      <c r="Y24" s="155"/>
      <c r="Z24" s="155"/>
      <c r="AA24" s="156"/>
      <c r="AB24" s="139"/>
      <c r="AC24" s="139"/>
      <c r="AD24" s="130"/>
      <c r="AE24" s="131"/>
      <c r="AF24" s="131"/>
      <c r="AG24" s="132"/>
    </row>
    <row r="25" spans="1:34" ht="45.75" thickBot="1">
      <c r="A25" s="237"/>
      <c r="B25" s="232" t="s">
        <v>209</v>
      </c>
      <c r="C25" s="232" t="s">
        <v>528</v>
      </c>
      <c r="D25" s="108" t="s">
        <v>210</v>
      </c>
      <c r="E25" s="108" t="s">
        <v>418</v>
      </c>
      <c r="F25" s="112">
        <v>1</v>
      </c>
      <c r="G25" s="108" t="s">
        <v>454</v>
      </c>
      <c r="H25" s="139"/>
      <c r="I25" s="139"/>
      <c r="J25" s="172"/>
      <c r="K25" s="173"/>
      <c r="L25" s="186">
        <f>DCOUNTA(group_I_52_WB_Fachpers[#All],I_52!F1,A2:E3)</f>
        <v>2</v>
      </c>
      <c r="M25" s="187"/>
      <c r="N25" s="147" t="str">
        <f>CONCATENATE("Nombre de jours: ",DSUM(group_I_52_WB_Fachpers[#All],group_I_52_WB_Fachpers[[#Headers],[group_I_52_WB_Fachpers/Anzahl_Tage_WB_Coaching_I52]],A2:E3))</f>
        <v>Nombre de jours: 15</v>
      </c>
      <c r="O25" s="148"/>
      <c r="P25" s="172"/>
      <c r="Q25" s="173"/>
      <c r="R25" s="178"/>
      <c r="S25" s="179"/>
      <c r="T25" s="141"/>
      <c r="U25" s="142"/>
      <c r="V25" s="172"/>
      <c r="W25" s="173"/>
      <c r="X25" s="178"/>
      <c r="Y25" s="179"/>
      <c r="Z25" s="141"/>
      <c r="AA25" s="142"/>
      <c r="AB25" s="172"/>
      <c r="AC25" s="173"/>
      <c r="AD25" s="176"/>
      <c r="AE25" s="177"/>
      <c r="AF25" s="125"/>
      <c r="AG25" s="126"/>
    </row>
    <row r="26" spans="1:34" ht="45.75" thickBot="1">
      <c r="A26" s="237"/>
      <c r="B26" s="232"/>
      <c r="C26" s="232"/>
      <c r="D26" s="108" t="s">
        <v>211</v>
      </c>
      <c r="E26" s="108" t="s">
        <v>529</v>
      </c>
      <c r="F26" s="112" t="s">
        <v>455</v>
      </c>
      <c r="G26" s="108" t="s">
        <v>530</v>
      </c>
      <c r="H26" s="139"/>
      <c r="I26" s="139"/>
      <c r="J26" s="139"/>
      <c r="K26" s="139"/>
      <c r="L26" s="25">
        <f>DSUM(group_I_52_WB_Fachpers[#All],group_I_52_WB_Fachpers[[#Headers],[group_I_52_WB_Fachpers/I_52b_Anzahl_beg_Maenner]],A2:E3)</f>
        <v>15</v>
      </c>
      <c r="M26" s="26">
        <f>DSUM(group_I_52_WB_Fachpers[#All],group_I_52_WB_Fachpers[[#Headers],[group_I_52_WB_Fachpers/I_52b_Anzahl_beg_Frauen]],A2:E3)</f>
        <v>15</v>
      </c>
      <c r="N26" s="157"/>
      <c r="O26" s="153"/>
      <c r="P26" s="139"/>
      <c r="Q26" s="139"/>
      <c r="R26" s="154"/>
      <c r="S26" s="155"/>
      <c r="T26" s="155"/>
      <c r="U26" s="156"/>
      <c r="V26" s="139"/>
      <c r="W26" s="139"/>
      <c r="X26" s="154"/>
      <c r="Y26" s="155"/>
      <c r="Z26" s="155"/>
      <c r="AA26" s="156"/>
      <c r="AB26" s="139"/>
      <c r="AC26" s="139"/>
      <c r="AD26" s="130"/>
      <c r="AE26" s="131"/>
      <c r="AF26" s="131"/>
      <c r="AG26" s="132"/>
    </row>
    <row r="27" spans="1:34" ht="38.25" customHeight="1" thickBot="1">
      <c r="A27" s="237"/>
      <c r="B27" s="232" t="s">
        <v>212</v>
      </c>
      <c r="C27" s="232" t="s">
        <v>420</v>
      </c>
      <c r="D27" s="108" t="s">
        <v>213</v>
      </c>
      <c r="E27" s="108" t="s">
        <v>487</v>
      </c>
      <c r="F27" s="112">
        <v>3</v>
      </c>
      <c r="G27" s="108" t="s">
        <v>456</v>
      </c>
      <c r="H27" s="139"/>
      <c r="I27" s="139"/>
      <c r="J27" s="172"/>
      <c r="K27" s="173"/>
      <c r="L27" s="186">
        <f>DCOUNTA(group_I_53_Infrastruktur[#All],I_53!F1,A2:E3)</f>
        <v>2</v>
      </c>
      <c r="M27" s="187"/>
      <c r="N27" s="147"/>
      <c r="O27" s="148"/>
      <c r="P27" s="172"/>
      <c r="Q27" s="173"/>
      <c r="R27" s="178"/>
      <c r="S27" s="179"/>
      <c r="T27" s="141"/>
      <c r="U27" s="142"/>
      <c r="V27" s="172"/>
      <c r="W27" s="173"/>
      <c r="X27" s="178"/>
      <c r="Y27" s="179"/>
      <c r="Z27" s="141"/>
      <c r="AA27" s="142"/>
      <c r="AB27" s="172"/>
      <c r="AC27" s="173"/>
      <c r="AD27" s="176"/>
      <c r="AE27" s="177"/>
      <c r="AF27" s="125"/>
      <c r="AG27" s="126"/>
    </row>
    <row r="28" spans="1:34" ht="16.5" thickBot="1">
      <c r="A28" s="237"/>
      <c r="B28" s="232"/>
      <c r="C28" s="232"/>
      <c r="D28" s="108" t="s">
        <v>214</v>
      </c>
      <c r="E28" s="108" t="s">
        <v>422</v>
      </c>
      <c r="F28" s="112" t="s">
        <v>217</v>
      </c>
      <c r="G28" s="108" t="s">
        <v>457</v>
      </c>
      <c r="H28" s="139"/>
      <c r="I28" s="139"/>
      <c r="J28" s="172"/>
      <c r="K28" s="173"/>
      <c r="L28" s="188">
        <f>DSUM(group_I_53_Infrastruktur[#All],I_53!G1,A2:E3)</f>
        <v>999</v>
      </c>
      <c r="M28" s="189"/>
      <c r="N28" s="147"/>
      <c r="O28" s="148"/>
      <c r="P28" s="172"/>
      <c r="Q28" s="173"/>
      <c r="R28" s="178"/>
      <c r="S28" s="179"/>
      <c r="T28" s="141"/>
      <c r="U28" s="142"/>
      <c r="V28" s="172"/>
      <c r="W28" s="173"/>
      <c r="X28" s="178"/>
      <c r="Y28" s="179"/>
      <c r="Z28" s="141"/>
      <c r="AA28" s="142"/>
      <c r="AB28" s="172"/>
      <c r="AC28" s="173"/>
      <c r="AD28" s="176"/>
      <c r="AE28" s="177"/>
      <c r="AF28" s="125"/>
      <c r="AG28" s="126"/>
    </row>
    <row r="29" spans="1:34" ht="30.75" thickBot="1">
      <c r="A29" s="237"/>
      <c r="B29" s="108" t="s">
        <v>215</v>
      </c>
      <c r="C29" s="108" t="s">
        <v>531</v>
      </c>
      <c r="D29" s="108" t="s">
        <v>216</v>
      </c>
      <c r="E29" s="108" t="s">
        <v>424</v>
      </c>
      <c r="F29" s="112">
        <v>3</v>
      </c>
      <c r="G29" s="108" t="s">
        <v>458</v>
      </c>
      <c r="H29" s="139"/>
      <c r="I29" s="139"/>
      <c r="J29" s="172"/>
      <c r="K29" s="173"/>
      <c r="L29" s="186">
        <f>DCOUNTA(group_I_54_Hilfsmittel[#All],I_54!F1,A2:E3)</f>
        <v>2</v>
      </c>
      <c r="M29" s="187"/>
      <c r="N29" s="147"/>
      <c r="O29" s="148"/>
      <c r="P29" s="172"/>
      <c r="Q29" s="173"/>
      <c r="R29" s="178"/>
      <c r="S29" s="179"/>
      <c r="T29" s="141"/>
      <c r="U29" s="142"/>
      <c r="V29" s="172"/>
      <c r="W29" s="173"/>
      <c r="X29" s="178"/>
      <c r="Y29" s="179"/>
      <c r="Z29" s="141"/>
      <c r="AA29" s="142"/>
      <c r="AB29" s="172"/>
      <c r="AC29" s="173"/>
      <c r="AD29" s="176"/>
      <c r="AE29" s="177"/>
      <c r="AF29" s="125"/>
      <c r="AG29" s="126"/>
      <c r="AH29" s="8"/>
    </row>
    <row r="30" spans="1:34" ht="43.5" customHeight="1" thickBot="1">
      <c r="A30" s="233" t="s">
        <v>425</v>
      </c>
      <c r="B30" s="234" t="s">
        <v>218</v>
      </c>
      <c r="C30" s="234" t="s">
        <v>426</v>
      </c>
      <c r="D30" s="113" t="s">
        <v>353</v>
      </c>
      <c r="E30" s="113" t="s">
        <v>532</v>
      </c>
      <c r="F30" s="115" t="s">
        <v>459</v>
      </c>
      <c r="G30" s="113" t="s">
        <v>533</v>
      </c>
      <c r="H30" s="139"/>
      <c r="I30" s="139"/>
      <c r="J30" s="139"/>
      <c r="K30" s="139"/>
      <c r="L30" s="25">
        <f>GETPIVOTDATA("Summe von group_I_60_Beguenstigte/Anzahl_Jungen_Maenner_I60",Pivot!$J$7,"group_I_60_Beguenstigte/Beguenstigte","i_60a_T_Anzahl_Aus_bzw_Weitergebildete")</f>
        <v>15</v>
      </c>
      <c r="M30" s="25">
        <f>GETPIVOTDATA("Summe von group_I_60_Beguenstigte/Anzahl_Maedchen_Frauen_I60",Pivot!$J$7,"group_I_60_Beguenstigte/Beguenstigte","i_60a_T_Anzahl_Aus_bzw_Weitergebildete")</f>
        <v>15</v>
      </c>
      <c r="N30" s="157"/>
      <c r="O30" s="153"/>
      <c r="P30" s="139"/>
      <c r="Q30" s="139"/>
      <c r="R30" s="154"/>
      <c r="S30" s="155"/>
      <c r="T30" s="155"/>
      <c r="U30" s="156"/>
      <c r="V30" s="139"/>
      <c r="W30" s="139"/>
      <c r="X30" s="154"/>
      <c r="Y30" s="155"/>
      <c r="Z30" s="155"/>
      <c r="AA30" s="156"/>
      <c r="AB30" s="139"/>
      <c r="AC30" s="139"/>
      <c r="AD30" s="130"/>
      <c r="AE30" s="131"/>
      <c r="AF30" s="131"/>
      <c r="AG30" s="132"/>
    </row>
    <row r="31" spans="1:34" ht="45.75" customHeight="1" thickBot="1">
      <c r="A31" s="233"/>
      <c r="B31" s="235"/>
      <c r="C31" s="235"/>
      <c r="D31" s="113" t="s">
        <v>354</v>
      </c>
      <c r="E31" s="113" t="s">
        <v>534</v>
      </c>
      <c r="F31" s="115" t="s">
        <v>459</v>
      </c>
      <c r="G31" s="113" t="s">
        <v>535</v>
      </c>
      <c r="H31" s="139"/>
      <c r="I31" s="139"/>
      <c r="J31" s="139"/>
      <c r="K31" s="139"/>
      <c r="L31" s="25">
        <f>GETPIVOTDATA("Summe von group_I_60_Beguenstigte/Anzahl_Jungen_Maenner_I60",Pivot!$J$7,"group_I_60_Beguenstigte/Beguenstigte","i_60b_T_Anzahl_Begunstigte_von_kirchlich")</f>
        <v>5</v>
      </c>
      <c r="M31" s="26">
        <f>GETPIVOTDATA("Summe von group_I_60_Beguenstigte/Anzahl_Maedchen_Frauen_I60",Pivot!$J$7,"group_I_60_Beguenstigte/Beguenstigte","i_60b_T_Anzahl_Begunstigte_von_kirchlich")</f>
        <v>5</v>
      </c>
      <c r="N31" s="157"/>
      <c r="O31" s="153"/>
      <c r="P31" s="139"/>
      <c r="Q31" s="139"/>
      <c r="R31" s="154"/>
      <c r="S31" s="155"/>
      <c r="T31" s="155"/>
      <c r="U31" s="156"/>
      <c r="V31" s="139"/>
      <c r="W31" s="139"/>
      <c r="X31" s="154"/>
      <c r="Y31" s="155"/>
      <c r="Z31" s="155"/>
      <c r="AA31" s="156"/>
      <c r="AB31" s="139"/>
      <c r="AC31" s="139"/>
      <c r="AD31" s="130"/>
      <c r="AE31" s="131"/>
      <c r="AF31" s="131"/>
      <c r="AG31" s="132"/>
    </row>
    <row r="32" spans="1:34" ht="45.75" thickBot="1">
      <c r="A32" s="233"/>
      <c r="B32" s="236"/>
      <c r="C32" s="236"/>
      <c r="D32" s="113" t="s">
        <v>355</v>
      </c>
      <c r="E32" s="113" t="s">
        <v>536</v>
      </c>
      <c r="F32" s="115" t="s">
        <v>496</v>
      </c>
      <c r="G32" s="113" t="s">
        <v>537</v>
      </c>
      <c r="H32" s="139"/>
      <c r="I32" s="139"/>
      <c r="J32" s="139"/>
      <c r="K32" s="139"/>
      <c r="L32" s="25">
        <f>GETPIVOTDATA("Summe von group_I_60_Beguenstigte/Anzahl_Jungen_Maenner_I60",Pivot!$J$7,"group_I_60_Beguenstigte/Beguenstigte","i_60c_T_Anzahl_Sensiblisierte_in_Kursen")</f>
        <v>6</v>
      </c>
      <c r="M32" s="26">
        <f>GETPIVOTDATA("Summe von group_I_60_Beguenstigte/Anzahl_Maedchen_Frauen_I60",Pivot!$J$7,"group_I_60_Beguenstigte/Beguenstigte","i_60c_T_Anzahl_Sensiblisierte_in_Kursen")</f>
        <v>6</v>
      </c>
      <c r="N32" s="157"/>
      <c r="O32" s="153"/>
      <c r="P32" s="139"/>
      <c r="Q32" s="139"/>
      <c r="R32" s="154"/>
      <c r="S32" s="155"/>
      <c r="T32" s="155"/>
      <c r="U32" s="156"/>
      <c r="V32" s="139"/>
      <c r="W32" s="139"/>
      <c r="X32" s="154"/>
      <c r="Y32" s="155"/>
      <c r="Z32" s="155"/>
      <c r="AA32" s="156"/>
      <c r="AB32" s="139"/>
      <c r="AC32" s="139"/>
      <c r="AD32" s="130"/>
      <c r="AE32" s="131"/>
      <c r="AF32" s="131"/>
      <c r="AG32" s="132"/>
    </row>
    <row r="33" spans="1:33" ht="90.75" thickBot="1">
      <c r="A33" s="233"/>
      <c r="B33" s="113" t="s">
        <v>222</v>
      </c>
      <c r="C33" s="113" t="s">
        <v>430</v>
      </c>
      <c r="D33" s="114" t="s">
        <v>223</v>
      </c>
      <c r="E33" s="113" t="s">
        <v>431</v>
      </c>
      <c r="F33" s="115" t="s">
        <v>496</v>
      </c>
      <c r="G33" s="113" t="s">
        <v>465</v>
      </c>
      <c r="H33" s="146"/>
      <c r="I33" s="139"/>
      <c r="J33" s="146"/>
      <c r="K33" s="146"/>
      <c r="L33" s="40">
        <f>GETPIVOTDATA("Summe von group_I_61_geistlich_Beguensti/Anzahl_Jungen_Maenner_I61",Pivot!$N$7,"Schwerpunkt","theologische_Bildung_und_Praxis","Waehle_Indikator/I_61",TRUE)</f>
        <v>59</v>
      </c>
      <c r="M33" s="41">
        <f>GETPIVOTDATA("Summe von group_I_61_geistlich_Beguensti/Anzahl_Maedchen_Frauen_I61",Pivot!$N$7,"Schwerpunkt","theologische_Bildung_und_Praxis","Waehle_Indikator/I_61",TRUE)</f>
        <v>70</v>
      </c>
      <c r="N33" s="158"/>
      <c r="O33" s="149"/>
      <c r="P33" s="146"/>
      <c r="Q33" s="146"/>
      <c r="R33" s="152"/>
      <c r="S33" s="150"/>
      <c r="T33" s="150"/>
      <c r="U33" s="151"/>
      <c r="V33" s="146"/>
      <c r="W33" s="146"/>
      <c r="X33" s="152"/>
      <c r="Y33" s="150"/>
      <c r="Z33" s="150"/>
      <c r="AA33" s="151"/>
      <c r="AB33" s="146"/>
      <c r="AC33" s="146"/>
      <c r="AD33" s="129"/>
      <c r="AE33" s="127"/>
      <c r="AF33" s="127"/>
      <c r="AG33" s="128"/>
    </row>
    <row r="34" spans="1:33" ht="60.75" thickBot="1">
      <c r="A34" s="116" t="s">
        <v>432</v>
      </c>
      <c r="B34" s="117" t="s">
        <v>224</v>
      </c>
      <c r="C34" s="117" t="s">
        <v>433</v>
      </c>
      <c r="D34" s="118" t="s">
        <v>225</v>
      </c>
      <c r="E34" s="117" t="s">
        <v>434</v>
      </c>
      <c r="F34" s="119">
        <v>3</v>
      </c>
      <c r="G34" s="117" t="s">
        <v>538</v>
      </c>
      <c r="H34" s="146"/>
      <c r="I34" s="139"/>
      <c r="J34" s="172"/>
      <c r="K34" s="173"/>
      <c r="L34" s="184">
        <f>DCOUNTA(group_I_70_Anz_Kontakte[#All],I_70!F1,A2:E3)</f>
        <v>2</v>
      </c>
      <c r="M34" s="185"/>
      <c r="N34" s="159"/>
      <c r="O34" s="160"/>
      <c r="P34" s="172"/>
      <c r="Q34" s="173"/>
      <c r="R34" s="170"/>
      <c r="S34" s="171"/>
      <c r="T34" s="161"/>
      <c r="U34" s="162"/>
      <c r="V34" s="172"/>
      <c r="W34" s="173"/>
      <c r="X34" s="170"/>
      <c r="Y34" s="171"/>
      <c r="Z34" s="161"/>
      <c r="AA34" s="162"/>
      <c r="AB34" s="172"/>
      <c r="AC34" s="173"/>
      <c r="AD34" s="174"/>
      <c r="AE34" s="175"/>
      <c r="AF34" s="133"/>
      <c r="AG34" s="134"/>
    </row>
    <row r="35" spans="1:33" ht="16.5" thickBot="1"/>
    <row r="36" spans="1:33" ht="16.5" thickBot="1">
      <c r="A36" s="101"/>
      <c r="B36" s="101" t="s">
        <v>435</v>
      </c>
      <c r="C36" s="101" t="s">
        <v>436</v>
      </c>
      <c r="D36" s="102"/>
      <c r="E36" s="101" t="s">
        <v>437</v>
      </c>
      <c r="F36" s="101"/>
      <c r="G36" s="101" t="s">
        <v>467</v>
      </c>
    </row>
    <row r="37" spans="1:33" ht="16.5" thickBot="1">
      <c r="A37" s="103"/>
      <c r="B37" s="104" t="s">
        <v>226</v>
      </c>
      <c r="C37" s="139"/>
      <c r="D37" s="146"/>
      <c r="E37" s="139"/>
      <c r="F37" s="16"/>
      <c r="G37" s="16"/>
    </row>
    <row r="38" spans="1:33" ht="16.5" thickBot="1">
      <c r="A38" s="103"/>
      <c r="B38" s="104" t="s">
        <v>227</v>
      </c>
      <c r="C38" s="139"/>
      <c r="D38" s="146"/>
      <c r="E38" s="139"/>
      <c r="F38" s="16"/>
      <c r="G38" s="16"/>
    </row>
    <row r="39" spans="1:33" ht="16.5" thickBot="1">
      <c r="F39" s="16"/>
      <c r="G39" s="16"/>
    </row>
  </sheetData>
  <mergeCells count="181">
    <mergeCell ref="AB5:AC5"/>
    <mergeCell ref="J6:K6"/>
    <mergeCell ref="L6:M6"/>
    <mergeCell ref="P6:Q6"/>
    <mergeCell ref="R6:S6"/>
    <mergeCell ref="V6:W6"/>
    <mergeCell ref="X6:Y6"/>
    <mergeCell ref="AB6:AC6"/>
    <mergeCell ref="J5:K5"/>
    <mergeCell ref="L5:O5"/>
    <mergeCell ref="P5:Q5"/>
    <mergeCell ref="R5:U5"/>
    <mergeCell ref="V5:W5"/>
    <mergeCell ref="X5:AA5"/>
    <mergeCell ref="AB7:AC7"/>
    <mergeCell ref="J8:K8"/>
    <mergeCell ref="L8:M8"/>
    <mergeCell ref="P8:Q8"/>
    <mergeCell ref="R8:S8"/>
    <mergeCell ref="V8:W8"/>
    <mergeCell ref="X8:Y8"/>
    <mergeCell ref="AB8:AC8"/>
    <mergeCell ref="J7:K7"/>
    <mergeCell ref="L7:M7"/>
    <mergeCell ref="P7:Q7"/>
    <mergeCell ref="R7:S7"/>
    <mergeCell ref="V7:W7"/>
    <mergeCell ref="X7:Y7"/>
    <mergeCell ref="AB9:AC9"/>
    <mergeCell ref="AD9:AG9"/>
    <mergeCell ref="J10:K10"/>
    <mergeCell ref="L10:M10"/>
    <mergeCell ref="P10:Q10"/>
    <mergeCell ref="R10:S10"/>
    <mergeCell ref="V10:W10"/>
    <mergeCell ref="X10:Y10"/>
    <mergeCell ref="AB10:AC10"/>
    <mergeCell ref="AD10:AE10"/>
    <mergeCell ref="J9:K9"/>
    <mergeCell ref="L9:O9"/>
    <mergeCell ref="P9:Q9"/>
    <mergeCell ref="R9:U9"/>
    <mergeCell ref="V9:W9"/>
    <mergeCell ref="X9:AA9"/>
    <mergeCell ref="AD11:AE11"/>
    <mergeCell ref="J12:K12"/>
    <mergeCell ref="L12:M12"/>
    <mergeCell ref="P12:Q12"/>
    <mergeCell ref="R12:S12"/>
    <mergeCell ref="V12:W12"/>
    <mergeCell ref="J11:K11"/>
    <mergeCell ref="L11:M11"/>
    <mergeCell ref="P11:Q11"/>
    <mergeCell ref="X12:Y12"/>
    <mergeCell ref="AB12:AC12"/>
    <mergeCell ref="AD12:AE12"/>
    <mergeCell ref="J13:K13"/>
    <mergeCell ref="L13:M13"/>
    <mergeCell ref="P13:Q13"/>
    <mergeCell ref="R13:S13"/>
    <mergeCell ref="V13:W13"/>
    <mergeCell ref="X13:Y13"/>
    <mergeCell ref="AB13:AC13"/>
    <mergeCell ref="AD13:AE13"/>
    <mergeCell ref="A14:A15"/>
    <mergeCell ref="J14:K14"/>
    <mergeCell ref="P14:Q14"/>
    <mergeCell ref="R14:S14"/>
    <mergeCell ref="V14:W14"/>
    <mergeCell ref="X14:Y14"/>
    <mergeCell ref="AB14:AC14"/>
    <mergeCell ref="AD14:AE14"/>
    <mergeCell ref="J15:K15"/>
    <mergeCell ref="A11:A13"/>
    <mergeCell ref="C11:C13"/>
    <mergeCell ref="AD15:AE15"/>
    <mergeCell ref="R11:S11"/>
    <mergeCell ref="V11:W11"/>
    <mergeCell ref="X11:Y11"/>
    <mergeCell ref="AB11:AC11"/>
    <mergeCell ref="J16:K16"/>
    <mergeCell ref="L16:M16"/>
    <mergeCell ref="P16:Q16"/>
    <mergeCell ref="R16:S16"/>
    <mergeCell ref="V16:W16"/>
    <mergeCell ref="X16:Y16"/>
    <mergeCell ref="AB16:AC16"/>
    <mergeCell ref="AD16:AE16"/>
    <mergeCell ref="L15:M15"/>
    <mergeCell ref="P15:Q15"/>
    <mergeCell ref="R15:S15"/>
    <mergeCell ref="V15:W15"/>
    <mergeCell ref="X15:Y15"/>
    <mergeCell ref="AB15:AC15"/>
    <mergeCell ref="AB18:AC18"/>
    <mergeCell ref="AD18:AE18"/>
    <mergeCell ref="J20:K20"/>
    <mergeCell ref="L20:M20"/>
    <mergeCell ref="P20:Q20"/>
    <mergeCell ref="R20:S20"/>
    <mergeCell ref="V20:W20"/>
    <mergeCell ref="X20:Y20"/>
    <mergeCell ref="AB20:AC20"/>
    <mergeCell ref="AD20:AE20"/>
    <mergeCell ref="J18:K18"/>
    <mergeCell ref="L18:M18"/>
    <mergeCell ref="P18:Q18"/>
    <mergeCell ref="R18:S18"/>
    <mergeCell ref="V18:W18"/>
    <mergeCell ref="X18:Y18"/>
    <mergeCell ref="AD22:AE22"/>
    <mergeCell ref="B23:B24"/>
    <mergeCell ref="C23:C24"/>
    <mergeCell ref="J23:K23"/>
    <mergeCell ref="L23:M23"/>
    <mergeCell ref="P23:Q23"/>
    <mergeCell ref="R23:S23"/>
    <mergeCell ref="V23:W23"/>
    <mergeCell ref="A22:A29"/>
    <mergeCell ref="J22:K22"/>
    <mergeCell ref="L22:M22"/>
    <mergeCell ref="P22:Q22"/>
    <mergeCell ref="R22:S22"/>
    <mergeCell ref="V22:W22"/>
    <mergeCell ref="B25:B26"/>
    <mergeCell ref="C25:C26"/>
    <mergeCell ref="J25:K25"/>
    <mergeCell ref="L25:M25"/>
    <mergeCell ref="P25:Q25"/>
    <mergeCell ref="R25:S25"/>
    <mergeCell ref="V25:W25"/>
    <mergeCell ref="X22:Y22"/>
    <mergeCell ref="AB22:AC22"/>
    <mergeCell ref="A30:A33"/>
    <mergeCell ref="B30:B32"/>
    <mergeCell ref="C30:C32"/>
    <mergeCell ref="J34:K34"/>
    <mergeCell ref="L34:M34"/>
    <mergeCell ref="P34:Q34"/>
    <mergeCell ref="AD28:AE28"/>
    <mergeCell ref="J29:K29"/>
    <mergeCell ref="L29:M29"/>
    <mergeCell ref="P29:Q29"/>
    <mergeCell ref="R29:S29"/>
    <mergeCell ref="V29:W29"/>
    <mergeCell ref="X29:Y29"/>
    <mergeCell ref="AB29:AC29"/>
    <mergeCell ref="AD29:AE29"/>
    <mergeCell ref="J28:K28"/>
    <mergeCell ref="L28:M28"/>
    <mergeCell ref="P28:Q28"/>
    <mergeCell ref="R28:S28"/>
    <mergeCell ref="V28:W28"/>
    <mergeCell ref="X28:Y28"/>
    <mergeCell ref="AB28:AC28"/>
    <mergeCell ref="B27:B28"/>
    <mergeCell ref="C27:C28"/>
    <mergeCell ref="AD7:AE7"/>
    <mergeCell ref="AD8:AE8"/>
    <mergeCell ref="AD5:AG5"/>
    <mergeCell ref="AD6:AE6"/>
    <mergeCell ref="B12:B13"/>
    <mergeCell ref="R34:S34"/>
    <mergeCell ref="V34:W34"/>
    <mergeCell ref="X34:Y34"/>
    <mergeCell ref="AB34:AC34"/>
    <mergeCell ref="AD34:AE34"/>
    <mergeCell ref="X27:Y27"/>
    <mergeCell ref="AB27:AC27"/>
    <mergeCell ref="AD27:AE27"/>
    <mergeCell ref="X25:Y25"/>
    <mergeCell ref="AB25:AC25"/>
    <mergeCell ref="AD25:AE25"/>
    <mergeCell ref="J27:K27"/>
    <mergeCell ref="L27:M27"/>
    <mergeCell ref="P27:Q27"/>
    <mergeCell ref="R27:S27"/>
    <mergeCell ref="V27:W27"/>
    <mergeCell ref="X23:Y23"/>
    <mergeCell ref="AB23:AC23"/>
    <mergeCell ref="AD23:AE23"/>
  </mergeCells>
  <pageMargins left="0.7" right="0.7" top="0.78740157499999996" bottom="0.78740157499999996" header="0.3" footer="0.3"/>
  <pageSetup paperSize="9" orientation="portrait" horizontalDpi="4294967293" verticalDpi="0"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B3C6B65-1CA5-41D3-8454-7A0CA3C8C51A}">
          <x14:formula1>
            <xm:f>Pivot!$F$8:$F$11</xm:f>
          </x14:formula1>
          <xm:sqref>E3</xm:sqref>
        </x14:dataValidation>
      </x14:dataValidations>
    </ext>
    <ext xmlns:x14="http://schemas.microsoft.com/office/spreadsheetml/2009/9/main" uri="{A8765BA9-456A-4dab-B4F3-ACF838C121DE}">
      <x14:slicerList>
        <x14:slicer r:id="rId4"/>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A2D10-C145-4BFE-885E-EF2A0785F289}">
  <sheetPr>
    <tabColor rgb="FF7030A0"/>
  </sheetPr>
  <dimension ref="A3:E280"/>
  <sheetViews>
    <sheetView workbookViewId="0">
      <selection activeCell="B23" sqref="B23"/>
    </sheetView>
  </sheetViews>
  <sheetFormatPr baseColWidth="10" defaultRowHeight="15.75"/>
  <cols>
    <col min="1" max="1" width="121.140625" style="4" customWidth="1"/>
    <col min="2" max="2" width="26.5703125" style="4" customWidth="1"/>
    <col min="3" max="16384" width="11.42578125" style="4"/>
  </cols>
  <sheetData>
    <row r="3" spans="1:5">
      <c r="A3" s="242" t="s">
        <v>539</v>
      </c>
    </row>
    <row r="4" spans="1:5">
      <c r="A4" s="163" t="s">
        <v>3</v>
      </c>
      <c r="B4" s="4" t="s">
        <v>228</v>
      </c>
    </row>
    <row r="5" spans="1:5">
      <c r="A5" s="163" t="s">
        <v>4</v>
      </c>
      <c r="B5" s="4" t="s">
        <v>228</v>
      </c>
    </row>
    <row r="6" spans="1:5">
      <c r="A6" s="163" t="s">
        <v>5</v>
      </c>
      <c r="B6" s="4" t="s">
        <v>228</v>
      </c>
    </row>
    <row r="7" spans="1:5">
      <c r="A7" s="163" t="s">
        <v>6</v>
      </c>
      <c r="B7" s="4" t="s">
        <v>228</v>
      </c>
    </row>
    <row r="8" spans="1:5">
      <c r="B8" s="164" t="s">
        <v>122</v>
      </c>
      <c r="C8" s="164" t="s">
        <v>126</v>
      </c>
    </row>
    <row r="9" spans="1:5">
      <c r="A9" s="163" t="s">
        <v>32</v>
      </c>
      <c r="B9" s="163" t="s">
        <v>33</v>
      </c>
      <c r="C9" s="163" t="s">
        <v>542</v>
      </c>
    </row>
    <row r="10" spans="1:5">
      <c r="A10" s="4" t="s">
        <v>276</v>
      </c>
      <c r="B10" s="4" t="s">
        <v>315</v>
      </c>
      <c r="C10" s="4" t="s">
        <v>315</v>
      </c>
      <c r="D10" s="4" t="str">
        <f>IF(B10&lt;&gt;"(Leer)",HYPERLINK("https://kc.humanitarianresponse.info/attachment/original?media_file=sam_global/attachments/"&amp;B10,"Bild 1"),"")</f>
        <v/>
      </c>
      <c r="E10" s="4" t="str">
        <f>IF(C10&lt;&gt;"(Leer)",HYPERLINK("https://kc.humanitarianresponse.info/attachment/original?media_file=sam_global/attachments/"&amp;C10,"Bild 2"),"")</f>
        <v/>
      </c>
    </row>
    <row r="11" spans="1:5">
      <c r="A11" s="4" t="s">
        <v>259</v>
      </c>
      <c r="B11" s="4" t="s">
        <v>315</v>
      </c>
      <c r="C11" s="4" t="s">
        <v>315</v>
      </c>
      <c r="D11" s="4" t="str">
        <f t="shared" ref="D11:D74" si="0">IF(B11&lt;&gt;"(Leer)",HYPERLINK("https://kc.humanitarianresponse.info/attachment/original?media_file=sam_global/attachments/"&amp;B11,"Bild 1"),"")</f>
        <v/>
      </c>
      <c r="E11" s="4" t="str">
        <f t="shared" ref="E11:E74" si="1">IF(C11&lt;&gt;"(Leer)",HYPERLINK("https://kc.humanitarianresponse.info/attachment/original?media_file=sam_global/attachments/"&amp;C11,"Bild 2"),"")</f>
        <v/>
      </c>
    </row>
    <row r="12" spans="1:5">
      <c r="A12" s="4" t="s">
        <v>65</v>
      </c>
      <c r="B12" s="4" t="s">
        <v>315</v>
      </c>
      <c r="C12" s="4" t="s">
        <v>315</v>
      </c>
      <c r="D12" s="4" t="str">
        <f t="shared" si="0"/>
        <v/>
      </c>
      <c r="E12" s="4" t="str">
        <f t="shared" si="1"/>
        <v/>
      </c>
    </row>
    <row r="13" spans="1:5">
      <c r="A13" s="4" t="s">
        <v>85</v>
      </c>
      <c r="B13" s="4" t="s">
        <v>315</v>
      </c>
      <c r="C13" s="4" t="s">
        <v>315</v>
      </c>
      <c r="D13" s="4" t="str">
        <f t="shared" si="0"/>
        <v/>
      </c>
      <c r="E13" s="4" t="str">
        <f t="shared" si="1"/>
        <v/>
      </c>
    </row>
    <row r="14" spans="1:5">
      <c r="A14" s="4" t="s">
        <v>315</v>
      </c>
      <c r="B14" s="4" t="s">
        <v>315</v>
      </c>
      <c r="C14" s="4" t="s">
        <v>315</v>
      </c>
      <c r="D14" s="4" t="str">
        <f t="shared" si="0"/>
        <v/>
      </c>
      <c r="E14" s="4" t="str">
        <f t="shared" si="1"/>
        <v/>
      </c>
    </row>
    <row r="15" spans="1:5">
      <c r="A15" s="4" t="s">
        <v>362</v>
      </c>
      <c r="B15" s="4" t="s">
        <v>363</v>
      </c>
      <c r="C15" s="4" t="s">
        <v>315</v>
      </c>
      <c r="D15" s="4" t="str">
        <f t="shared" si="0"/>
        <v>Bild 1</v>
      </c>
      <c r="E15" s="4" t="str">
        <f t="shared" si="1"/>
        <v/>
      </c>
    </row>
    <row r="16" spans="1:5">
      <c r="A16" s="4" t="s">
        <v>366</v>
      </c>
      <c r="B16" s="4" t="s">
        <v>367</v>
      </c>
      <c r="C16" s="4" t="s">
        <v>315</v>
      </c>
      <c r="D16" s="4" t="str">
        <f t="shared" si="0"/>
        <v>Bild 1</v>
      </c>
      <c r="E16" s="4" t="str">
        <f t="shared" si="1"/>
        <v/>
      </c>
    </row>
    <row r="17" spans="1:5">
      <c r="A17" s="4" t="s">
        <v>544</v>
      </c>
      <c r="B17" s="4" t="s">
        <v>315</v>
      </c>
      <c r="C17" s="4" t="s">
        <v>315</v>
      </c>
      <c r="D17" s="4" t="str">
        <f t="shared" si="0"/>
        <v/>
      </c>
      <c r="E17" s="4" t="str">
        <f t="shared" si="1"/>
        <v/>
      </c>
    </row>
    <row r="18" spans="1:5">
      <c r="A18" s="4" t="s">
        <v>548</v>
      </c>
      <c r="B18" s="4" t="s">
        <v>549</v>
      </c>
      <c r="C18" s="4" t="s">
        <v>315</v>
      </c>
      <c r="D18" s="4" t="str">
        <f t="shared" si="0"/>
        <v>Bild 1</v>
      </c>
      <c r="E18" s="4" t="str">
        <f t="shared" si="1"/>
        <v/>
      </c>
    </row>
    <row r="19" spans="1:5">
      <c r="A19" s="4" t="s">
        <v>554</v>
      </c>
      <c r="B19" s="4" t="s">
        <v>555</v>
      </c>
      <c r="C19" s="4" t="s">
        <v>556</v>
      </c>
      <c r="D19" s="4" t="str">
        <f t="shared" si="0"/>
        <v>Bild 1</v>
      </c>
      <c r="E19" s="4" t="str">
        <f t="shared" si="1"/>
        <v>Bild 2</v>
      </c>
    </row>
    <row r="20" spans="1:5">
      <c r="A20" s="4" t="s">
        <v>230</v>
      </c>
      <c r="D20" s="4" t="str">
        <f t="shared" si="0"/>
        <v>Bild 1</v>
      </c>
      <c r="E20" s="4" t="str">
        <f t="shared" si="1"/>
        <v>Bild 2</v>
      </c>
    </row>
    <row r="21" spans="1:5">
      <c r="A21"/>
      <c r="B21" s="243"/>
      <c r="C21"/>
      <c r="D21" s="4" t="str">
        <f t="shared" si="0"/>
        <v>Bild 1</v>
      </c>
      <c r="E21" s="4" t="str">
        <f t="shared" si="1"/>
        <v>Bild 2</v>
      </c>
    </row>
    <row r="22" spans="1:5">
      <c r="A22"/>
      <c r="B22" s="243"/>
      <c r="C22"/>
      <c r="D22" s="4" t="str">
        <f t="shared" si="0"/>
        <v>Bild 1</v>
      </c>
      <c r="E22" s="4" t="str">
        <f t="shared" si="1"/>
        <v>Bild 2</v>
      </c>
    </row>
    <row r="23" spans="1:5">
      <c r="A23"/>
      <c r="B23" s="243"/>
      <c r="C23"/>
      <c r="D23" s="4" t="str">
        <f t="shared" si="0"/>
        <v>Bild 1</v>
      </c>
      <c r="E23" s="4" t="str">
        <f t="shared" si="1"/>
        <v>Bild 2</v>
      </c>
    </row>
    <row r="24" spans="1:5">
      <c r="A24"/>
      <c r="B24" s="243"/>
      <c r="C24"/>
      <c r="D24" s="4" t="str">
        <f t="shared" si="0"/>
        <v>Bild 1</v>
      </c>
      <c r="E24" s="4" t="str">
        <f t="shared" si="1"/>
        <v>Bild 2</v>
      </c>
    </row>
    <row r="25" spans="1:5">
      <c r="A25"/>
      <c r="B25" s="243"/>
      <c r="C25"/>
      <c r="D25" s="4" t="str">
        <f t="shared" si="0"/>
        <v>Bild 1</v>
      </c>
      <c r="E25" s="4" t="str">
        <f t="shared" si="1"/>
        <v>Bild 2</v>
      </c>
    </row>
    <row r="26" spans="1:5">
      <c r="A26"/>
      <c r="B26" s="243"/>
      <c r="C26"/>
      <c r="D26" s="4" t="str">
        <f t="shared" si="0"/>
        <v>Bild 1</v>
      </c>
      <c r="E26" s="4" t="str">
        <f t="shared" si="1"/>
        <v>Bild 2</v>
      </c>
    </row>
    <row r="27" spans="1:5">
      <c r="A27"/>
      <c r="B27" s="243"/>
      <c r="C27"/>
      <c r="D27" s="4" t="str">
        <f t="shared" si="0"/>
        <v>Bild 1</v>
      </c>
      <c r="E27" s="4" t="str">
        <f t="shared" si="1"/>
        <v>Bild 2</v>
      </c>
    </row>
    <row r="28" spans="1:5">
      <c r="A28"/>
      <c r="B28" s="243"/>
      <c r="C28"/>
      <c r="D28" s="4" t="str">
        <f t="shared" si="0"/>
        <v>Bild 1</v>
      </c>
      <c r="E28" s="4" t="str">
        <f t="shared" si="1"/>
        <v>Bild 2</v>
      </c>
    </row>
    <row r="29" spans="1:5">
      <c r="A29"/>
      <c r="B29" s="243"/>
      <c r="C29"/>
      <c r="D29" s="4" t="str">
        <f t="shared" si="0"/>
        <v>Bild 1</v>
      </c>
      <c r="E29" s="4" t="str">
        <f t="shared" si="1"/>
        <v>Bild 2</v>
      </c>
    </row>
    <row r="30" spans="1:5">
      <c r="A30"/>
      <c r="B30" s="243"/>
      <c r="C30"/>
      <c r="D30" s="4" t="str">
        <f t="shared" si="0"/>
        <v>Bild 1</v>
      </c>
      <c r="E30" s="4" t="str">
        <f t="shared" si="1"/>
        <v>Bild 2</v>
      </c>
    </row>
    <row r="31" spans="1:5">
      <c r="A31"/>
      <c r="B31" s="243"/>
      <c r="C31"/>
      <c r="D31" s="4" t="str">
        <f t="shared" si="0"/>
        <v>Bild 1</v>
      </c>
      <c r="E31" s="4" t="str">
        <f t="shared" si="1"/>
        <v>Bild 2</v>
      </c>
    </row>
    <row r="32" spans="1:5">
      <c r="D32" s="4" t="str">
        <f t="shared" si="0"/>
        <v>Bild 1</v>
      </c>
      <c r="E32" s="4" t="str">
        <f t="shared" si="1"/>
        <v>Bild 2</v>
      </c>
    </row>
    <row r="33" spans="4:5">
      <c r="D33" s="4" t="str">
        <f t="shared" si="0"/>
        <v>Bild 1</v>
      </c>
      <c r="E33" s="4" t="str">
        <f t="shared" si="1"/>
        <v>Bild 2</v>
      </c>
    </row>
    <row r="34" spans="4:5">
      <c r="D34" s="4" t="str">
        <f t="shared" si="0"/>
        <v>Bild 1</v>
      </c>
      <c r="E34" s="4" t="str">
        <f t="shared" si="1"/>
        <v>Bild 2</v>
      </c>
    </row>
    <row r="35" spans="4:5">
      <c r="D35" s="4" t="str">
        <f t="shared" si="0"/>
        <v>Bild 1</v>
      </c>
      <c r="E35" s="4" t="str">
        <f t="shared" si="1"/>
        <v>Bild 2</v>
      </c>
    </row>
    <row r="36" spans="4:5">
      <c r="D36" s="4" t="str">
        <f t="shared" si="0"/>
        <v>Bild 1</v>
      </c>
      <c r="E36" s="4" t="str">
        <f t="shared" si="1"/>
        <v>Bild 2</v>
      </c>
    </row>
    <row r="37" spans="4:5">
      <c r="D37" s="4" t="str">
        <f t="shared" si="0"/>
        <v>Bild 1</v>
      </c>
      <c r="E37" s="4" t="str">
        <f t="shared" si="1"/>
        <v>Bild 2</v>
      </c>
    </row>
    <row r="38" spans="4:5">
      <c r="D38" s="4" t="str">
        <f t="shared" si="0"/>
        <v>Bild 1</v>
      </c>
      <c r="E38" s="4" t="str">
        <f t="shared" si="1"/>
        <v>Bild 2</v>
      </c>
    </row>
    <row r="39" spans="4:5">
      <c r="D39" s="4" t="str">
        <f t="shared" si="0"/>
        <v>Bild 1</v>
      </c>
      <c r="E39" s="4" t="str">
        <f t="shared" si="1"/>
        <v>Bild 2</v>
      </c>
    </row>
    <row r="40" spans="4:5">
      <c r="D40" s="4" t="str">
        <f t="shared" si="0"/>
        <v>Bild 1</v>
      </c>
      <c r="E40" s="4" t="str">
        <f t="shared" si="1"/>
        <v>Bild 2</v>
      </c>
    </row>
    <row r="41" spans="4:5">
      <c r="D41" s="4" t="str">
        <f t="shared" si="0"/>
        <v>Bild 1</v>
      </c>
      <c r="E41" s="4" t="str">
        <f t="shared" si="1"/>
        <v>Bild 2</v>
      </c>
    </row>
    <row r="42" spans="4:5">
      <c r="D42" s="4" t="str">
        <f t="shared" si="0"/>
        <v>Bild 1</v>
      </c>
      <c r="E42" s="4" t="str">
        <f t="shared" si="1"/>
        <v>Bild 2</v>
      </c>
    </row>
    <row r="43" spans="4:5">
      <c r="D43" s="4" t="str">
        <f t="shared" si="0"/>
        <v>Bild 1</v>
      </c>
      <c r="E43" s="4" t="str">
        <f t="shared" si="1"/>
        <v>Bild 2</v>
      </c>
    </row>
    <row r="44" spans="4:5">
      <c r="D44" s="4" t="str">
        <f t="shared" si="0"/>
        <v>Bild 1</v>
      </c>
      <c r="E44" s="4" t="str">
        <f t="shared" si="1"/>
        <v>Bild 2</v>
      </c>
    </row>
    <row r="45" spans="4:5">
      <c r="D45" s="4" t="str">
        <f t="shared" si="0"/>
        <v>Bild 1</v>
      </c>
      <c r="E45" s="4" t="str">
        <f t="shared" si="1"/>
        <v>Bild 2</v>
      </c>
    </row>
    <row r="46" spans="4:5">
      <c r="D46" s="4" t="str">
        <f t="shared" si="0"/>
        <v>Bild 1</v>
      </c>
      <c r="E46" s="4" t="str">
        <f t="shared" si="1"/>
        <v>Bild 2</v>
      </c>
    </row>
    <row r="47" spans="4:5">
      <c r="D47" s="4" t="str">
        <f t="shared" si="0"/>
        <v>Bild 1</v>
      </c>
      <c r="E47" s="4" t="str">
        <f t="shared" si="1"/>
        <v>Bild 2</v>
      </c>
    </row>
    <row r="48" spans="4:5">
      <c r="D48" s="4" t="str">
        <f t="shared" si="0"/>
        <v>Bild 1</v>
      </c>
      <c r="E48" s="4" t="str">
        <f t="shared" si="1"/>
        <v>Bild 2</v>
      </c>
    </row>
    <row r="49" spans="4:5">
      <c r="D49" s="4" t="str">
        <f t="shared" si="0"/>
        <v>Bild 1</v>
      </c>
      <c r="E49" s="4" t="str">
        <f t="shared" si="1"/>
        <v>Bild 2</v>
      </c>
    </row>
    <row r="50" spans="4:5">
      <c r="D50" s="4" t="str">
        <f t="shared" si="0"/>
        <v>Bild 1</v>
      </c>
      <c r="E50" s="4" t="str">
        <f t="shared" si="1"/>
        <v>Bild 2</v>
      </c>
    </row>
    <row r="51" spans="4:5">
      <c r="D51" s="4" t="str">
        <f t="shared" si="0"/>
        <v>Bild 1</v>
      </c>
      <c r="E51" s="4" t="str">
        <f t="shared" si="1"/>
        <v>Bild 2</v>
      </c>
    </row>
    <row r="52" spans="4:5">
      <c r="D52" s="4" t="str">
        <f t="shared" si="0"/>
        <v>Bild 1</v>
      </c>
      <c r="E52" s="4" t="str">
        <f t="shared" si="1"/>
        <v>Bild 2</v>
      </c>
    </row>
    <row r="53" spans="4:5">
      <c r="D53" s="4" t="str">
        <f t="shared" si="0"/>
        <v>Bild 1</v>
      </c>
      <c r="E53" s="4" t="str">
        <f t="shared" si="1"/>
        <v>Bild 2</v>
      </c>
    </row>
    <row r="54" spans="4:5">
      <c r="D54" s="4" t="str">
        <f t="shared" si="0"/>
        <v>Bild 1</v>
      </c>
      <c r="E54" s="4" t="str">
        <f t="shared" si="1"/>
        <v>Bild 2</v>
      </c>
    </row>
    <row r="55" spans="4:5">
      <c r="D55" s="4" t="str">
        <f t="shared" si="0"/>
        <v>Bild 1</v>
      </c>
      <c r="E55" s="4" t="str">
        <f t="shared" si="1"/>
        <v>Bild 2</v>
      </c>
    </row>
    <row r="56" spans="4:5">
      <c r="D56" s="4" t="str">
        <f t="shared" si="0"/>
        <v>Bild 1</v>
      </c>
      <c r="E56" s="4" t="str">
        <f t="shared" si="1"/>
        <v>Bild 2</v>
      </c>
    </row>
    <row r="57" spans="4:5">
      <c r="D57" s="4" t="str">
        <f t="shared" si="0"/>
        <v>Bild 1</v>
      </c>
      <c r="E57" s="4" t="str">
        <f t="shared" si="1"/>
        <v>Bild 2</v>
      </c>
    </row>
    <row r="58" spans="4:5">
      <c r="D58" s="4" t="str">
        <f t="shared" si="0"/>
        <v>Bild 1</v>
      </c>
      <c r="E58" s="4" t="str">
        <f t="shared" si="1"/>
        <v>Bild 2</v>
      </c>
    </row>
    <row r="59" spans="4:5">
      <c r="D59" s="4" t="str">
        <f t="shared" si="0"/>
        <v>Bild 1</v>
      </c>
      <c r="E59" s="4" t="str">
        <f t="shared" si="1"/>
        <v>Bild 2</v>
      </c>
    </row>
    <row r="60" spans="4:5">
      <c r="D60" s="4" t="str">
        <f t="shared" si="0"/>
        <v>Bild 1</v>
      </c>
      <c r="E60" s="4" t="str">
        <f t="shared" si="1"/>
        <v>Bild 2</v>
      </c>
    </row>
    <row r="61" spans="4:5">
      <c r="D61" s="4" t="str">
        <f t="shared" si="0"/>
        <v>Bild 1</v>
      </c>
      <c r="E61" s="4" t="str">
        <f t="shared" si="1"/>
        <v>Bild 2</v>
      </c>
    </row>
    <row r="62" spans="4:5">
      <c r="D62" s="4" t="str">
        <f t="shared" si="0"/>
        <v>Bild 1</v>
      </c>
      <c r="E62" s="4" t="str">
        <f t="shared" si="1"/>
        <v>Bild 2</v>
      </c>
    </row>
    <row r="63" spans="4:5">
      <c r="D63" s="4" t="str">
        <f t="shared" si="0"/>
        <v>Bild 1</v>
      </c>
      <c r="E63" s="4" t="str">
        <f t="shared" si="1"/>
        <v>Bild 2</v>
      </c>
    </row>
    <row r="64" spans="4:5">
      <c r="D64" s="4" t="str">
        <f t="shared" si="0"/>
        <v>Bild 1</v>
      </c>
      <c r="E64" s="4" t="str">
        <f t="shared" si="1"/>
        <v>Bild 2</v>
      </c>
    </row>
    <row r="65" spans="4:5">
      <c r="D65" s="4" t="str">
        <f t="shared" si="0"/>
        <v>Bild 1</v>
      </c>
      <c r="E65" s="4" t="str">
        <f t="shared" si="1"/>
        <v>Bild 2</v>
      </c>
    </row>
    <row r="66" spans="4:5">
      <c r="D66" s="4" t="str">
        <f t="shared" si="0"/>
        <v>Bild 1</v>
      </c>
      <c r="E66" s="4" t="str">
        <f t="shared" si="1"/>
        <v>Bild 2</v>
      </c>
    </row>
    <row r="67" spans="4:5">
      <c r="D67" s="4" t="str">
        <f t="shared" si="0"/>
        <v>Bild 1</v>
      </c>
      <c r="E67" s="4" t="str">
        <f t="shared" si="1"/>
        <v>Bild 2</v>
      </c>
    </row>
    <row r="68" spans="4:5">
      <c r="D68" s="4" t="str">
        <f t="shared" si="0"/>
        <v>Bild 1</v>
      </c>
      <c r="E68" s="4" t="str">
        <f t="shared" si="1"/>
        <v>Bild 2</v>
      </c>
    </row>
    <row r="69" spans="4:5">
      <c r="D69" s="4" t="str">
        <f t="shared" si="0"/>
        <v>Bild 1</v>
      </c>
      <c r="E69" s="4" t="str">
        <f t="shared" si="1"/>
        <v>Bild 2</v>
      </c>
    </row>
    <row r="70" spans="4:5">
      <c r="D70" s="4" t="str">
        <f t="shared" si="0"/>
        <v>Bild 1</v>
      </c>
      <c r="E70" s="4" t="str">
        <f t="shared" si="1"/>
        <v>Bild 2</v>
      </c>
    </row>
    <row r="71" spans="4:5">
      <c r="D71" s="4" t="str">
        <f t="shared" si="0"/>
        <v>Bild 1</v>
      </c>
      <c r="E71" s="4" t="str">
        <f t="shared" si="1"/>
        <v>Bild 2</v>
      </c>
    </row>
    <row r="72" spans="4:5">
      <c r="D72" s="4" t="str">
        <f t="shared" si="0"/>
        <v>Bild 1</v>
      </c>
      <c r="E72" s="4" t="str">
        <f t="shared" si="1"/>
        <v>Bild 2</v>
      </c>
    </row>
    <row r="73" spans="4:5">
      <c r="D73" s="4" t="str">
        <f t="shared" si="0"/>
        <v>Bild 1</v>
      </c>
      <c r="E73" s="4" t="str">
        <f t="shared" si="1"/>
        <v>Bild 2</v>
      </c>
    </row>
    <row r="74" spans="4:5">
      <c r="D74" s="4" t="str">
        <f t="shared" si="0"/>
        <v>Bild 1</v>
      </c>
      <c r="E74" s="4" t="str">
        <f t="shared" si="1"/>
        <v>Bild 2</v>
      </c>
    </row>
    <row r="75" spans="4:5">
      <c r="D75" s="4" t="str">
        <f t="shared" ref="D75:D138" si="2">IF(B75&lt;&gt;"(Leer)",HYPERLINK("https://kc.humanitarianresponse.info/attachment/original?media_file=sam_global/attachments/"&amp;B75,"Bild 1"),"")</f>
        <v>Bild 1</v>
      </c>
      <c r="E75" s="4" t="str">
        <f t="shared" ref="E75:E138" si="3">IF(C75&lt;&gt;"(Leer)",HYPERLINK("https://kc.humanitarianresponse.info/attachment/original?media_file=sam_global/attachments/"&amp;C75,"Bild 2"),"")</f>
        <v>Bild 2</v>
      </c>
    </row>
    <row r="76" spans="4:5">
      <c r="D76" s="4" t="str">
        <f t="shared" si="2"/>
        <v>Bild 1</v>
      </c>
      <c r="E76" s="4" t="str">
        <f t="shared" si="3"/>
        <v>Bild 2</v>
      </c>
    </row>
    <row r="77" spans="4:5">
      <c r="D77" s="4" t="str">
        <f t="shared" si="2"/>
        <v>Bild 1</v>
      </c>
      <c r="E77" s="4" t="str">
        <f t="shared" si="3"/>
        <v>Bild 2</v>
      </c>
    </row>
    <row r="78" spans="4:5">
      <c r="D78" s="4" t="str">
        <f t="shared" si="2"/>
        <v>Bild 1</v>
      </c>
      <c r="E78" s="4" t="str">
        <f t="shared" si="3"/>
        <v>Bild 2</v>
      </c>
    </row>
    <row r="79" spans="4:5">
      <c r="D79" s="4" t="str">
        <f t="shared" si="2"/>
        <v>Bild 1</v>
      </c>
      <c r="E79" s="4" t="str">
        <f t="shared" si="3"/>
        <v>Bild 2</v>
      </c>
    </row>
    <row r="80" spans="4:5">
      <c r="D80" s="4" t="str">
        <f t="shared" si="2"/>
        <v>Bild 1</v>
      </c>
      <c r="E80" s="4" t="str">
        <f t="shared" si="3"/>
        <v>Bild 2</v>
      </c>
    </row>
    <row r="81" spans="4:5">
      <c r="D81" s="4" t="str">
        <f t="shared" si="2"/>
        <v>Bild 1</v>
      </c>
      <c r="E81" s="4" t="str">
        <f t="shared" si="3"/>
        <v>Bild 2</v>
      </c>
    </row>
    <row r="82" spans="4:5">
      <c r="D82" s="4" t="str">
        <f t="shared" si="2"/>
        <v>Bild 1</v>
      </c>
      <c r="E82" s="4" t="str">
        <f t="shared" si="3"/>
        <v>Bild 2</v>
      </c>
    </row>
    <row r="83" spans="4:5">
      <c r="D83" s="4" t="str">
        <f t="shared" si="2"/>
        <v>Bild 1</v>
      </c>
      <c r="E83" s="4" t="str">
        <f t="shared" si="3"/>
        <v>Bild 2</v>
      </c>
    </row>
    <row r="84" spans="4:5">
      <c r="D84" s="4" t="str">
        <f t="shared" si="2"/>
        <v>Bild 1</v>
      </c>
      <c r="E84" s="4" t="str">
        <f t="shared" si="3"/>
        <v>Bild 2</v>
      </c>
    </row>
    <row r="85" spans="4:5">
      <c r="D85" s="4" t="str">
        <f t="shared" si="2"/>
        <v>Bild 1</v>
      </c>
      <c r="E85" s="4" t="str">
        <f t="shared" si="3"/>
        <v>Bild 2</v>
      </c>
    </row>
    <row r="86" spans="4:5">
      <c r="D86" s="4" t="str">
        <f t="shared" si="2"/>
        <v>Bild 1</v>
      </c>
      <c r="E86" s="4" t="str">
        <f t="shared" si="3"/>
        <v>Bild 2</v>
      </c>
    </row>
    <row r="87" spans="4:5">
      <c r="D87" s="4" t="str">
        <f t="shared" si="2"/>
        <v>Bild 1</v>
      </c>
      <c r="E87" s="4" t="str">
        <f t="shared" si="3"/>
        <v>Bild 2</v>
      </c>
    </row>
    <row r="88" spans="4:5">
      <c r="D88" s="4" t="str">
        <f t="shared" si="2"/>
        <v>Bild 1</v>
      </c>
      <c r="E88" s="4" t="str">
        <f t="shared" si="3"/>
        <v>Bild 2</v>
      </c>
    </row>
    <row r="89" spans="4:5">
      <c r="D89" s="4" t="str">
        <f t="shared" si="2"/>
        <v>Bild 1</v>
      </c>
      <c r="E89" s="4" t="str">
        <f t="shared" si="3"/>
        <v>Bild 2</v>
      </c>
    </row>
    <row r="90" spans="4:5">
      <c r="D90" s="4" t="str">
        <f t="shared" si="2"/>
        <v>Bild 1</v>
      </c>
      <c r="E90" s="4" t="str">
        <f t="shared" si="3"/>
        <v>Bild 2</v>
      </c>
    </row>
    <row r="91" spans="4:5">
      <c r="D91" s="4" t="str">
        <f t="shared" si="2"/>
        <v>Bild 1</v>
      </c>
      <c r="E91" s="4" t="str">
        <f t="shared" si="3"/>
        <v>Bild 2</v>
      </c>
    </row>
    <row r="92" spans="4:5">
      <c r="D92" s="4" t="str">
        <f t="shared" si="2"/>
        <v>Bild 1</v>
      </c>
      <c r="E92" s="4" t="str">
        <f t="shared" si="3"/>
        <v>Bild 2</v>
      </c>
    </row>
    <row r="93" spans="4:5">
      <c r="D93" s="4" t="str">
        <f t="shared" si="2"/>
        <v>Bild 1</v>
      </c>
      <c r="E93" s="4" t="str">
        <f t="shared" si="3"/>
        <v>Bild 2</v>
      </c>
    </row>
    <row r="94" spans="4:5">
      <c r="D94" s="4" t="str">
        <f t="shared" si="2"/>
        <v>Bild 1</v>
      </c>
      <c r="E94" s="4" t="str">
        <f t="shared" si="3"/>
        <v>Bild 2</v>
      </c>
    </row>
    <row r="95" spans="4:5">
      <c r="D95" s="4" t="str">
        <f t="shared" si="2"/>
        <v>Bild 1</v>
      </c>
      <c r="E95" s="4" t="str">
        <f t="shared" si="3"/>
        <v>Bild 2</v>
      </c>
    </row>
    <row r="96" spans="4:5">
      <c r="D96" s="4" t="str">
        <f t="shared" si="2"/>
        <v>Bild 1</v>
      </c>
      <c r="E96" s="4" t="str">
        <f t="shared" si="3"/>
        <v>Bild 2</v>
      </c>
    </row>
    <row r="97" spans="4:5">
      <c r="D97" s="4" t="str">
        <f t="shared" si="2"/>
        <v>Bild 1</v>
      </c>
      <c r="E97" s="4" t="str">
        <f t="shared" si="3"/>
        <v>Bild 2</v>
      </c>
    </row>
    <row r="98" spans="4:5">
      <c r="D98" s="4" t="str">
        <f t="shared" si="2"/>
        <v>Bild 1</v>
      </c>
      <c r="E98" s="4" t="str">
        <f t="shared" si="3"/>
        <v>Bild 2</v>
      </c>
    </row>
    <row r="99" spans="4:5">
      <c r="D99" s="4" t="str">
        <f t="shared" si="2"/>
        <v>Bild 1</v>
      </c>
      <c r="E99" s="4" t="str">
        <f t="shared" si="3"/>
        <v>Bild 2</v>
      </c>
    </row>
    <row r="100" spans="4:5">
      <c r="D100" s="4" t="str">
        <f t="shared" si="2"/>
        <v>Bild 1</v>
      </c>
      <c r="E100" s="4" t="str">
        <f t="shared" si="3"/>
        <v>Bild 2</v>
      </c>
    </row>
    <row r="101" spans="4:5">
      <c r="D101" s="4" t="str">
        <f t="shared" si="2"/>
        <v>Bild 1</v>
      </c>
      <c r="E101" s="4" t="str">
        <f t="shared" si="3"/>
        <v>Bild 2</v>
      </c>
    </row>
    <row r="102" spans="4:5">
      <c r="D102" s="4" t="str">
        <f t="shared" si="2"/>
        <v>Bild 1</v>
      </c>
      <c r="E102" s="4" t="str">
        <f t="shared" si="3"/>
        <v>Bild 2</v>
      </c>
    </row>
    <row r="103" spans="4:5">
      <c r="D103" s="4" t="str">
        <f t="shared" si="2"/>
        <v>Bild 1</v>
      </c>
      <c r="E103" s="4" t="str">
        <f t="shared" si="3"/>
        <v>Bild 2</v>
      </c>
    </row>
    <row r="104" spans="4:5">
      <c r="D104" s="4" t="str">
        <f t="shared" si="2"/>
        <v>Bild 1</v>
      </c>
      <c r="E104" s="4" t="str">
        <f t="shared" si="3"/>
        <v>Bild 2</v>
      </c>
    </row>
    <row r="105" spans="4:5">
      <c r="D105" s="4" t="str">
        <f t="shared" si="2"/>
        <v>Bild 1</v>
      </c>
      <c r="E105" s="4" t="str">
        <f t="shared" si="3"/>
        <v>Bild 2</v>
      </c>
    </row>
    <row r="106" spans="4:5">
      <c r="D106" s="4" t="str">
        <f t="shared" si="2"/>
        <v>Bild 1</v>
      </c>
      <c r="E106" s="4" t="str">
        <f t="shared" si="3"/>
        <v>Bild 2</v>
      </c>
    </row>
    <row r="107" spans="4:5">
      <c r="D107" s="4" t="str">
        <f t="shared" si="2"/>
        <v>Bild 1</v>
      </c>
      <c r="E107" s="4" t="str">
        <f t="shared" si="3"/>
        <v>Bild 2</v>
      </c>
    </row>
    <row r="108" spans="4:5">
      <c r="D108" s="4" t="str">
        <f t="shared" si="2"/>
        <v>Bild 1</v>
      </c>
      <c r="E108" s="4" t="str">
        <f t="shared" si="3"/>
        <v>Bild 2</v>
      </c>
    </row>
    <row r="109" spans="4:5">
      <c r="D109" s="4" t="str">
        <f t="shared" si="2"/>
        <v>Bild 1</v>
      </c>
      <c r="E109" s="4" t="str">
        <f t="shared" si="3"/>
        <v>Bild 2</v>
      </c>
    </row>
    <row r="110" spans="4:5">
      <c r="D110" s="4" t="str">
        <f t="shared" si="2"/>
        <v>Bild 1</v>
      </c>
      <c r="E110" s="4" t="str">
        <f t="shared" si="3"/>
        <v>Bild 2</v>
      </c>
    </row>
    <row r="111" spans="4:5">
      <c r="D111" s="4" t="str">
        <f t="shared" si="2"/>
        <v>Bild 1</v>
      </c>
      <c r="E111" s="4" t="str">
        <f t="shared" si="3"/>
        <v>Bild 2</v>
      </c>
    </row>
    <row r="112" spans="4:5">
      <c r="D112" s="4" t="str">
        <f t="shared" si="2"/>
        <v>Bild 1</v>
      </c>
      <c r="E112" s="4" t="str">
        <f t="shared" si="3"/>
        <v>Bild 2</v>
      </c>
    </row>
    <row r="113" spans="4:5">
      <c r="D113" s="4" t="str">
        <f t="shared" si="2"/>
        <v>Bild 1</v>
      </c>
      <c r="E113" s="4" t="str">
        <f t="shared" si="3"/>
        <v>Bild 2</v>
      </c>
    </row>
    <row r="114" spans="4:5">
      <c r="D114" s="4" t="str">
        <f t="shared" si="2"/>
        <v>Bild 1</v>
      </c>
      <c r="E114" s="4" t="str">
        <f t="shared" si="3"/>
        <v>Bild 2</v>
      </c>
    </row>
    <row r="115" spans="4:5">
      <c r="D115" s="4" t="str">
        <f t="shared" si="2"/>
        <v>Bild 1</v>
      </c>
      <c r="E115" s="4" t="str">
        <f t="shared" si="3"/>
        <v>Bild 2</v>
      </c>
    </row>
    <row r="116" spans="4:5">
      <c r="D116" s="4" t="str">
        <f t="shared" si="2"/>
        <v>Bild 1</v>
      </c>
      <c r="E116" s="4" t="str">
        <f t="shared" si="3"/>
        <v>Bild 2</v>
      </c>
    </row>
    <row r="117" spans="4:5">
      <c r="D117" s="4" t="str">
        <f t="shared" si="2"/>
        <v>Bild 1</v>
      </c>
      <c r="E117" s="4" t="str">
        <f t="shared" si="3"/>
        <v>Bild 2</v>
      </c>
    </row>
    <row r="118" spans="4:5">
      <c r="D118" s="4" t="str">
        <f t="shared" si="2"/>
        <v>Bild 1</v>
      </c>
      <c r="E118" s="4" t="str">
        <f t="shared" si="3"/>
        <v>Bild 2</v>
      </c>
    </row>
    <row r="119" spans="4:5">
      <c r="D119" s="4" t="str">
        <f t="shared" si="2"/>
        <v>Bild 1</v>
      </c>
      <c r="E119" s="4" t="str">
        <f t="shared" si="3"/>
        <v>Bild 2</v>
      </c>
    </row>
    <row r="120" spans="4:5">
      <c r="D120" s="4" t="str">
        <f t="shared" si="2"/>
        <v>Bild 1</v>
      </c>
      <c r="E120" s="4" t="str">
        <f t="shared" si="3"/>
        <v>Bild 2</v>
      </c>
    </row>
    <row r="121" spans="4:5">
      <c r="D121" s="4" t="str">
        <f t="shared" si="2"/>
        <v>Bild 1</v>
      </c>
      <c r="E121" s="4" t="str">
        <f t="shared" si="3"/>
        <v>Bild 2</v>
      </c>
    </row>
    <row r="122" spans="4:5">
      <c r="D122" s="4" t="str">
        <f t="shared" si="2"/>
        <v>Bild 1</v>
      </c>
      <c r="E122" s="4" t="str">
        <f t="shared" si="3"/>
        <v>Bild 2</v>
      </c>
    </row>
    <row r="123" spans="4:5">
      <c r="D123" s="4" t="str">
        <f t="shared" si="2"/>
        <v>Bild 1</v>
      </c>
      <c r="E123" s="4" t="str">
        <f t="shared" si="3"/>
        <v>Bild 2</v>
      </c>
    </row>
    <row r="124" spans="4:5">
      <c r="D124" s="4" t="str">
        <f t="shared" si="2"/>
        <v>Bild 1</v>
      </c>
      <c r="E124" s="4" t="str">
        <f t="shared" si="3"/>
        <v>Bild 2</v>
      </c>
    </row>
    <row r="125" spans="4:5">
      <c r="D125" s="4" t="str">
        <f t="shared" si="2"/>
        <v>Bild 1</v>
      </c>
      <c r="E125" s="4" t="str">
        <f t="shared" si="3"/>
        <v>Bild 2</v>
      </c>
    </row>
    <row r="126" spans="4:5">
      <c r="D126" s="4" t="str">
        <f t="shared" si="2"/>
        <v>Bild 1</v>
      </c>
      <c r="E126" s="4" t="str">
        <f t="shared" si="3"/>
        <v>Bild 2</v>
      </c>
    </row>
    <row r="127" spans="4:5">
      <c r="D127" s="4" t="str">
        <f t="shared" si="2"/>
        <v>Bild 1</v>
      </c>
      <c r="E127" s="4" t="str">
        <f t="shared" si="3"/>
        <v>Bild 2</v>
      </c>
    </row>
    <row r="128" spans="4:5">
      <c r="D128" s="4" t="str">
        <f t="shared" si="2"/>
        <v>Bild 1</v>
      </c>
      <c r="E128" s="4" t="str">
        <f t="shared" si="3"/>
        <v>Bild 2</v>
      </c>
    </row>
    <row r="129" spans="4:5">
      <c r="D129" s="4" t="str">
        <f t="shared" si="2"/>
        <v>Bild 1</v>
      </c>
      <c r="E129" s="4" t="str">
        <f t="shared" si="3"/>
        <v>Bild 2</v>
      </c>
    </row>
    <row r="130" spans="4:5">
      <c r="D130" s="4" t="str">
        <f t="shared" si="2"/>
        <v>Bild 1</v>
      </c>
      <c r="E130" s="4" t="str">
        <f t="shared" si="3"/>
        <v>Bild 2</v>
      </c>
    </row>
    <row r="131" spans="4:5">
      <c r="D131" s="4" t="str">
        <f t="shared" si="2"/>
        <v>Bild 1</v>
      </c>
      <c r="E131" s="4" t="str">
        <f t="shared" si="3"/>
        <v>Bild 2</v>
      </c>
    </row>
    <row r="132" spans="4:5">
      <c r="D132" s="4" t="str">
        <f t="shared" si="2"/>
        <v>Bild 1</v>
      </c>
      <c r="E132" s="4" t="str">
        <f t="shared" si="3"/>
        <v>Bild 2</v>
      </c>
    </row>
    <row r="133" spans="4:5">
      <c r="D133" s="4" t="str">
        <f t="shared" si="2"/>
        <v>Bild 1</v>
      </c>
      <c r="E133" s="4" t="str">
        <f t="shared" si="3"/>
        <v>Bild 2</v>
      </c>
    </row>
    <row r="134" spans="4:5">
      <c r="D134" s="4" t="str">
        <f t="shared" si="2"/>
        <v>Bild 1</v>
      </c>
      <c r="E134" s="4" t="str">
        <f t="shared" si="3"/>
        <v>Bild 2</v>
      </c>
    </row>
    <row r="135" spans="4:5">
      <c r="D135" s="4" t="str">
        <f t="shared" si="2"/>
        <v>Bild 1</v>
      </c>
      <c r="E135" s="4" t="str">
        <f t="shared" si="3"/>
        <v>Bild 2</v>
      </c>
    </row>
    <row r="136" spans="4:5">
      <c r="D136" s="4" t="str">
        <f t="shared" si="2"/>
        <v>Bild 1</v>
      </c>
      <c r="E136" s="4" t="str">
        <f t="shared" si="3"/>
        <v>Bild 2</v>
      </c>
    </row>
    <row r="137" spans="4:5">
      <c r="D137" s="4" t="str">
        <f t="shared" si="2"/>
        <v>Bild 1</v>
      </c>
      <c r="E137" s="4" t="str">
        <f t="shared" si="3"/>
        <v>Bild 2</v>
      </c>
    </row>
    <row r="138" spans="4:5">
      <c r="D138" s="4" t="str">
        <f t="shared" si="2"/>
        <v>Bild 1</v>
      </c>
      <c r="E138" s="4" t="str">
        <f t="shared" si="3"/>
        <v>Bild 2</v>
      </c>
    </row>
    <row r="139" spans="4:5">
      <c r="D139" s="4" t="str">
        <f t="shared" ref="D139:D202" si="4">IF(B139&lt;&gt;"(Leer)",HYPERLINK("https://kc.humanitarianresponse.info/attachment/original?media_file=sam_global/attachments/"&amp;B139,"Bild 1"),"")</f>
        <v>Bild 1</v>
      </c>
      <c r="E139" s="4" t="str">
        <f t="shared" ref="E139:E202" si="5">IF(C139&lt;&gt;"(Leer)",HYPERLINK("https://kc.humanitarianresponse.info/attachment/original?media_file=sam_global/attachments/"&amp;C139,"Bild 2"),"")</f>
        <v>Bild 2</v>
      </c>
    </row>
    <row r="140" spans="4:5">
      <c r="D140" s="4" t="str">
        <f t="shared" si="4"/>
        <v>Bild 1</v>
      </c>
      <c r="E140" s="4" t="str">
        <f t="shared" si="5"/>
        <v>Bild 2</v>
      </c>
    </row>
    <row r="141" spans="4:5">
      <c r="D141" s="4" t="str">
        <f t="shared" si="4"/>
        <v>Bild 1</v>
      </c>
      <c r="E141" s="4" t="str">
        <f t="shared" si="5"/>
        <v>Bild 2</v>
      </c>
    </row>
    <row r="142" spans="4:5">
      <c r="D142" s="4" t="str">
        <f t="shared" si="4"/>
        <v>Bild 1</v>
      </c>
      <c r="E142" s="4" t="str">
        <f t="shared" si="5"/>
        <v>Bild 2</v>
      </c>
    </row>
    <row r="143" spans="4:5">
      <c r="D143" s="4" t="str">
        <f t="shared" si="4"/>
        <v>Bild 1</v>
      </c>
      <c r="E143" s="4" t="str">
        <f t="shared" si="5"/>
        <v>Bild 2</v>
      </c>
    </row>
    <row r="144" spans="4:5">
      <c r="D144" s="4" t="str">
        <f t="shared" si="4"/>
        <v>Bild 1</v>
      </c>
      <c r="E144" s="4" t="str">
        <f t="shared" si="5"/>
        <v>Bild 2</v>
      </c>
    </row>
    <row r="145" spans="4:5">
      <c r="D145" s="4" t="str">
        <f t="shared" si="4"/>
        <v>Bild 1</v>
      </c>
      <c r="E145" s="4" t="str">
        <f t="shared" si="5"/>
        <v>Bild 2</v>
      </c>
    </row>
    <row r="146" spans="4:5">
      <c r="D146" s="4" t="str">
        <f t="shared" si="4"/>
        <v>Bild 1</v>
      </c>
      <c r="E146" s="4" t="str">
        <f t="shared" si="5"/>
        <v>Bild 2</v>
      </c>
    </row>
    <row r="147" spans="4:5">
      <c r="D147" s="4" t="str">
        <f t="shared" si="4"/>
        <v>Bild 1</v>
      </c>
      <c r="E147" s="4" t="str">
        <f t="shared" si="5"/>
        <v>Bild 2</v>
      </c>
    </row>
    <row r="148" spans="4:5">
      <c r="D148" s="4" t="str">
        <f t="shared" si="4"/>
        <v>Bild 1</v>
      </c>
      <c r="E148" s="4" t="str">
        <f t="shared" si="5"/>
        <v>Bild 2</v>
      </c>
    </row>
    <row r="149" spans="4:5">
      <c r="D149" s="4" t="str">
        <f t="shared" si="4"/>
        <v>Bild 1</v>
      </c>
      <c r="E149" s="4" t="str">
        <f t="shared" si="5"/>
        <v>Bild 2</v>
      </c>
    </row>
    <row r="150" spans="4:5">
      <c r="D150" s="4" t="str">
        <f t="shared" si="4"/>
        <v>Bild 1</v>
      </c>
      <c r="E150" s="4" t="str">
        <f t="shared" si="5"/>
        <v>Bild 2</v>
      </c>
    </row>
    <row r="151" spans="4:5">
      <c r="D151" s="4" t="str">
        <f t="shared" si="4"/>
        <v>Bild 1</v>
      </c>
      <c r="E151" s="4" t="str">
        <f t="shared" si="5"/>
        <v>Bild 2</v>
      </c>
    </row>
    <row r="152" spans="4:5">
      <c r="D152" s="4" t="str">
        <f t="shared" si="4"/>
        <v>Bild 1</v>
      </c>
      <c r="E152" s="4" t="str">
        <f t="shared" si="5"/>
        <v>Bild 2</v>
      </c>
    </row>
    <row r="153" spans="4:5">
      <c r="D153" s="4" t="str">
        <f t="shared" si="4"/>
        <v>Bild 1</v>
      </c>
      <c r="E153" s="4" t="str">
        <f t="shared" si="5"/>
        <v>Bild 2</v>
      </c>
    </row>
    <row r="154" spans="4:5">
      <c r="D154" s="4" t="str">
        <f t="shared" si="4"/>
        <v>Bild 1</v>
      </c>
      <c r="E154" s="4" t="str">
        <f t="shared" si="5"/>
        <v>Bild 2</v>
      </c>
    </row>
    <row r="155" spans="4:5">
      <c r="D155" s="4" t="str">
        <f t="shared" si="4"/>
        <v>Bild 1</v>
      </c>
      <c r="E155" s="4" t="str">
        <f t="shared" si="5"/>
        <v>Bild 2</v>
      </c>
    </row>
    <row r="156" spans="4:5">
      <c r="D156" s="4" t="str">
        <f t="shared" si="4"/>
        <v>Bild 1</v>
      </c>
      <c r="E156" s="4" t="str">
        <f t="shared" si="5"/>
        <v>Bild 2</v>
      </c>
    </row>
    <row r="157" spans="4:5">
      <c r="D157" s="4" t="str">
        <f t="shared" si="4"/>
        <v>Bild 1</v>
      </c>
      <c r="E157" s="4" t="str">
        <f t="shared" si="5"/>
        <v>Bild 2</v>
      </c>
    </row>
    <row r="158" spans="4:5">
      <c r="D158" s="4" t="str">
        <f t="shared" si="4"/>
        <v>Bild 1</v>
      </c>
      <c r="E158" s="4" t="str">
        <f t="shared" si="5"/>
        <v>Bild 2</v>
      </c>
    </row>
    <row r="159" spans="4:5">
      <c r="D159" s="4" t="str">
        <f t="shared" si="4"/>
        <v>Bild 1</v>
      </c>
      <c r="E159" s="4" t="str">
        <f t="shared" si="5"/>
        <v>Bild 2</v>
      </c>
    </row>
    <row r="160" spans="4:5">
      <c r="D160" s="4" t="str">
        <f t="shared" si="4"/>
        <v>Bild 1</v>
      </c>
      <c r="E160" s="4" t="str">
        <f t="shared" si="5"/>
        <v>Bild 2</v>
      </c>
    </row>
    <row r="161" spans="4:5">
      <c r="D161" s="4" t="str">
        <f t="shared" si="4"/>
        <v>Bild 1</v>
      </c>
      <c r="E161" s="4" t="str">
        <f t="shared" si="5"/>
        <v>Bild 2</v>
      </c>
    </row>
    <row r="162" spans="4:5">
      <c r="D162" s="4" t="str">
        <f t="shared" si="4"/>
        <v>Bild 1</v>
      </c>
      <c r="E162" s="4" t="str">
        <f t="shared" si="5"/>
        <v>Bild 2</v>
      </c>
    </row>
    <row r="163" spans="4:5">
      <c r="D163" s="4" t="str">
        <f t="shared" si="4"/>
        <v>Bild 1</v>
      </c>
      <c r="E163" s="4" t="str">
        <f t="shared" si="5"/>
        <v>Bild 2</v>
      </c>
    </row>
    <row r="164" spans="4:5">
      <c r="D164" s="4" t="str">
        <f t="shared" si="4"/>
        <v>Bild 1</v>
      </c>
      <c r="E164" s="4" t="str">
        <f t="shared" si="5"/>
        <v>Bild 2</v>
      </c>
    </row>
    <row r="165" spans="4:5">
      <c r="D165" s="4" t="str">
        <f t="shared" si="4"/>
        <v>Bild 1</v>
      </c>
      <c r="E165" s="4" t="str">
        <f t="shared" si="5"/>
        <v>Bild 2</v>
      </c>
    </row>
    <row r="166" spans="4:5">
      <c r="D166" s="4" t="str">
        <f t="shared" si="4"/>
        <v>Bild 1</v>
      </c>
      <c r="E166" s="4" t="str">
        <f t="shared" si="5"/>
        <v>Bild 2</v>
      </c>
    </row>
    <row r="167" spans="4:5">
      <c r="D167" s="4" t="str">
        <f t="shared" si="4"/>
        <v>Bild 1</v>
      </c>
      <c r="E167" s="4" t="str">
        <f t="shared" si="5"/>
        <v>Bild 2</v>
      </c>
    </row>
    <row r="168" spans="4:5">
      <c r="D168" s="4" t="str">
        <f t="shared" si="4"/>
        <v>Bild 1</v>
      </c>
      <c r="E168" s="4" t="str">
        <f t="shared" si="5"/>
        <v>Bild 2</v>
      </c>
    </row>
    <row r="169" spans="4:5">
      <c r="D169" s="4" t="str">
        <f t="shared" si="4"/>
        <v>Bild 1</v>
      </c>
      <c r="E169" s="4" t="str">
        <f t="shared" si="5"/>
        <v>Bild 2</v>
      </c>
    </row>
    <row r="170" spans="4:5">
      <c r="D170" s="4" t="str">
        <f t="shared" si="4"/>
        <v>Bild 1</v>
      </c>
      <c r="E170" s="4" t="str">
        <f t="shared" si="5"/>
        <v>Bild 2</v>
      </c>
    </row>
    <row r="171" spans="4:5">
      <c r="D171" s="4" t="str">
        <f t="shared" si="4"/>
        <v>Bild 1</v>
      </c>
      <c r="E171" s="4" t="str">
        <f t="shared" si="5"/>
        <v>Bild 2</v>
      </c>
    </row>
    <row r="172" spans="4:5">
      <c r="D172" s="4" t="str">
        <f t="shared" si="4"/>
        <v>Bild 1</v>
      </c>
      <c r="E172" s="4" t="str">
        <f t="shared" si="5"/>
        <v>Bild 2</v>
      </c>
    </row>
    <row r="173" spans="4:5">
      <c r="D173" s="4" t="str">
        <f t="shared" si="4"/>
        <v>Bild 1</v>
      </c>
      <c r="E173" s="4" t="str">
        <f t="shared" si="5"/>
        <v>Bild 2</v>
      </c>
    </row>
    <row r="174" spans="4:5">
      <c r="D174" s="4" t="str">
        <f t="shared" si="4"/>
        <v>Bild 1</v>
      </c>
      <c r="E174" s="4" t="str">
        <f t="shared" si="5"/>
        <v>Bild 2</v>
      </c>
    </row>
    <row r="175" spans="4:5">
      <c r="D175" s="4" t="str">
        <f t="shared" si="4"/>
        <v>Bild 1</v>
      </c>
      <c r="E175" s="4" t="str">
        <f t="shared" si="5"/>
        <v>Bild 2</v>
      </c>
    </row>
    <row r="176" spans="4:5">
      <c r="D176" s="4" t="str">
        <f t="shared" si="4"/>
        <v>Bild 1</v>
      </c>
      <c r="E176" s="4" t="str">
        <f t="shared" si="5"/>
        <v>Bild 2</v>
      </c>
    </row>
    <row r="177" spans="4:5">
      <c r="D177" s="4" t="str">
        <f t="shared" si="4"/>
        <v>Bild 1</v>
      </c>
      <c r="E177" s="4" t="str">
        <f t="shared" si="5"/>
        <v>Bild 2</v>
      </c>
    </row>
    <row r="178" spans="4:5">
      <c r="D178" s="4" t="str">
        <f t="shared" si="4"/>
        <v>Bild 1</v>
      </c>
      <c r="E178" s="4" t="str">
        <f t="shared" si="5"/>
        <v>Bild 2</v>
      </c>
    </row>
    <row r="179" spans="4:5">
      <c r="D179" s="4" t="str">
        <f t="shared" si="4"/>
        <v>Bild 1</v>
      </c>
      <c r="E179" s="4" t="str">
        <f t="shared" si="5"/>
        <v>Bild 2</v>
      </c>
    </row>
    <row r="180" spans="4:5">
      <c r="D180" s="4" t="str">
        <f t="shared" si="4"/>
        <v>Bild 1</v>
      </c>
      <c r="E180" s="4" t="str">
        <f t="shared" si="5"/>
        <v>Bild 2</v>
      </c>
    </row>
    <row r="181" spans="4:5">
      <c r="D181" s="4" t="str">
        <f t="shared" si="4"/>
        <v>Bild 1</v>
      </c>
      <c r="E181" s="4" t="str">
        <f t="shared" si="5"/>
        <v>Bild 2</v>
      </c>
    </row>
    <row r="182" spans="4:5">
      <c r="D182" s="4" t="str">
        <f t="shared" si="4"/>
        <v>Bild 1</v>
      </c>
      <c r="E182" s="4" t="str">
        <f t="shared" si="5"/>
        <v>Bild 2</v>
      </c>
    </row>
    <row r="183" spans="4:5">
      <c r="D183" s="4" t="str">
        <f t="shared" si="4"/>
        <v>Bild 1</v>
      </c>
      <c r="E183" s="4" t="str">
        <f t="shared" si="5"/>
        <v>Bild 2</v>
      </c>
    </row>
    <row r="184" spans="4:5">
      <c r="D184" s="4" t="str">
        <f t="shared" si="4"/>
        <v>Bild 1</v>
      </c>
      <c r="E184" s="4" t="str">
        <f t="shared" si="5"/>
        <v>Bild 2</v>
      </c>
    </row>
    <row r="185" spans="4:5">
      <c r="D185" s="4" t="str">
        <f t="shared" si="4"/>
        <v>Bild 1</v>
      </c>
      <c r="E185" s="4" t="str">
        <f t="shared" si="5"/>
        <v>Bild 2</v>
      </c>
    </row>
    <row r="186" spans="4:5">
      <c r="D186" s="4" t="str">
        <f t="shared" si="4"/>
        <v>Bild 1</v>
      </c>
      <c r="E186" s="4" t="str">
        <f t="shared" si="5"/>
        <v>Bild 2</v>
      </c>
    </row>
    <row r="187" spans="4:5">
      <c r="D187" s="4" t="str">
        <f t="shared" si="4"/>
        <v>Bild 1</v>
      </c>
      <c r="E187" s="4" t="str">
        <f t="shared" si="5"/>
        <v>Bild 2</v>
      </c>
    </row>
    <row r="188" spans="4:5">
      <c r="D188" s="4" t="str">
        <f t="shared" si="4"/>
        <v>Bild 1</v>
      </c>
      <c r="E188" s="4" t="str">
        <f t="shared" si="5"/>
        <v>Bild 2</v>
      </c>
    </row>
    <row r="189" spans="4:5">
      <c r="D189" s="4" t="str">
        <f t="shared" si="4"/>
        <v>Bild 1</v>
      </c>
      <c r="E189" s="4" t="str">
        <f t="shared" si="5"/>
        <v>Bild 2</v>
      </c>
    </row>
    <row r="190" spans="4:5">
      <c r="D190" s="4" t="str">
        <f t="shared" si="4"/>
        <v>Bild 1</v>
      </c>
      <c r="E190" s="4" t="str">
        <f t="shared" si="5"/>
        <v>Bild 2</v>
      </c>
    </row>
    <row r="191" spans="4:5">
      <c r="D191" s="4" t="str">
        <f t="shared" si="4"/>
        <v>Bild 1</v>
      </c>
      <c r="E191" s="4" t="str">
        <f t="shared" si="5"/>
        <v>Bild 2</v>
      </c>
    </row>
    <row r="192" spans="4:5">
      <c r="D192" s="4" t="str">
        <f t="shared" si="4"/>
        <v>Bild 1</v>
      </c>
      <c r="E192" s="4" t="str">
        <f t="shared" si="5"/>
        <v>Bild 2</v>
      </c>
    </row>
    <row r="193" spans="4:5">
      <c r="D193" s="4" t="str">
        <f t="shared" si="4"/>
        <v>Bild 1</v>
      </c>
      <c r="E193" s="4" t="str">
        <f t="shared" si="5"/>
        <v>Bild 2</v>
      </c>
    </row>
    <row r="194" spans="4:5">
      <c r="D194" s="4" t="str">
        <f t="shared" si="4"/>
        <v>Bild 1</v>
      </c>
      <c r="E194" s="4" t="str">
        <f t="shared" si="5"/>
        <v>Bild 2</v>
      </c>
    </row>
    <row r="195" spans="4:5">
      <c r="D195" s="4" t="str">
        <f t="shared" si="4"/>
        <v>Bild 1</v>
      </c>
      <c r="E195" s="4" t="str">
        <f t="shared" si="5"/>
        <v>Bild 2</v>
      </c>
    </row>
    <row r="196" spans="4:5">
      <c r="D196" s="4" t="str">
        <f t="shared" si="4"/>
        <v>Bild 1</v>
      </c>
      <c r="E196" s="4" t="str">
        <f t="shared" si="5"/>
        <v>Bild 2</v>
      </c>
    </row>
    <row r="197" spans="4:5">
      <c r="D197" s="4" t="str">
        <f t="shared" si="4"/>
        <v>Bild 1</v>
      </c>
      <c r="E197" s="4" t="str">
        <f t="shared" si="5"/>
        <v>Bild 2</v>
      </c>
    </row>
    <row r="198" spans="4:5">
      <c r="D198" s="4" t="str">
        <f t="shared" si="4"/>
        <v>Bild 1</v>
      </c>
      <c r="E198" s="4" t="str">
        <f t="shared" si="5"/>
        <v>Bild 2</v>
      </c>
    </row>
    <row r="199" spans="4:5">
      <c r="D199" s="4" t="str">
        <f t="shared" si="4"/>
        <v>Bild 1</v>
      </c>
      <c r="E199" s="4" t="str">
        <f t="shared" si="5"/>
        <v>Bild 2</v>
      </c>
    </row>
    <row r="200" spans="4:5">
      <c r="D200" s="4" t="str">
        <f t="shared" si="4"/>
        <v>Bild 1</v>
      </c>
      <c r="E200" s="4" t="str">
        <f t="shared" si="5"/>
        <v>Bild 2</v>
      </c>
    </row>
    <row r="201" spans="4:5">
      <c r="D201" s="4" t="str">
        <f t="shared" si="4"/>
        <v>Bild 1</v>
      </c>
      <c r="E201" s="4" t="str">
        <f t="shared" si="5"/>
        <v>Bild 2</v>
      </c>
    </row>
    <row r="202" spans="4:5">
      <c r="D202" s="4" t="str">
        <f t="shared" si="4"/>
        <v>Bild 1</v>
      </c>
      <c r="E202" s="4" t="str">
        <f t="shared" si="5"/>
        <v>Bild 2</v>
      </c>
    </row>
    <row r="203" spans="4:5">
      <c r="D203" s="4" t="str">
        <f t="shared" ref="D203:D266" si="6">IF(B203&lt;&gt;"(Leer)",HYPERLINK("https://kc.humanitarianresponse.info/attachment/original?media_file=sam_global/attachments/"&amp;B203,"Bild 1"),"")</f>
        <v>Bild 1</v>
      </c>
      <c r="E203" s="4" t="str">
        <f t="shared" ref="E203:E266" si="7">IF(C203&lt;&gt;"(Leer)",HYPERLINK("https://kc.humanitarianresponse.info/attachment/original?media_file=sam_global/attachments/"&amp;C203,"Bild 2"),"")</f>
        <v>Bild 2</v>
      </c>
    </row>
    <row r="204" spans="4:5">
      <c r="D204" s="4" t="str">
        <f t="shared" si="6"/>
        <v>Bild 1</v>
      </c>
      <c r="E204" s="4" t="str">
        <f t="shared" si="7"/>
        <v>Bild 2</v>
      </c>
    </row>
    <row r="205" spans="4:5">
      <c r="D205" s="4" t="str">
        <f t="shared" si="6"/>
        <v>Bild 1</v>
      </c>
      <c r="E205" s="4" t="str">
        <f t="shared" si="7"/>
        <v>Bild 2</v>
      </c>
    </row>
    <row r="206" spans="4:5">
      <c r="D206" s="4" t="str">
        <f t="shared" si="6"/>
        <v>Bild 1</v>
      </c>
      <c r="E206" s="4" t="str">
        <f t="shared" si="7"/>
        <v>Bild 2</v>
      </c>
    </row>
    <row r="207" spans="4:5">
      <c r="D207" s="4" t="str">
        <f t="shared" si="6"/>
        <v>Bild 1</v>
      </c>
      <c r="E207" s="4" t="str">
        <f t="shared" si="7"/>
        <v>Bild 2</v>
      </c>
    </row>
    <row r="208" spans="4:5">
      <c r="D208" s="4" t="str">
        <f t="shared" si="6"/>
        <v>Bild 1</v>
      </c>
      <c r="E208" s="4" t="str">
        <f t="shared" si="7"/>
        <v>Bild 2</v>
      </c>
    </row>
    <row r="209" spans="4:5">
      <c r="D209" s="4" t="str">
        <f t="shared" si="6"/>
        <v>Bild 1</v>
      </c>
      <c r="E209" s="4" t="str">
        <f t="shared" si="7"/>
        <v>Bild 2</v>
      </c>
    </row>
    <row r="210" spans="4:5">
      <c r="D210" s="4" t="str">
        <f t="shared" si="6"/>
        <v>Bild 1</v>
      </c>
      <c r="E210" s="4" t="str">
        <f t="shared" si="7"/>
        <v>Bild 2</v>
      </c>
    </row>
    <row r="211" spans="4:5">
      <c r="D211" s="4" t="str">
        <f t="shared" si="6"/>
        <v>Bild 1</v>
      </c>
      <c r="E211" s="4" t="str">
        <f t="shared" si="7"/>
        <v>Bild 2</v>
      </c>
    </row>
    <row r="212" spans="4:5">
      <c r="D212" s="4" t="str">
        <f t="shared" si="6"/>
        <v>Bild 1</v>
      </c>
      <c r="E212" s="4" t="str">
        <f t="shared" si="7"/>
        <v>Bild 2</v>
      </c>
    </row>
    <row r="213" spans="4:5">
      <c r="D213" s="4" t="str">
        <f t="shared" si="6"/>
        <v>Bild 1</v>
      </c>
      <c r="E213" s="4" t="str">
        <f t="shared" si="7"/>
        <v>Bild 2</v>
      </c>
    </row>
    <row r="214" spans="4:5">
      <c r="D214" s="4" t="str">
        <f t="shared" si="6"/>
        <v>Bild 1</v>
      </c>
      <c r="E214" s="4" t="str">
        <f t="shared" si="7"/>
        <v>Bild 2</v>
      </c>
    </row>
    <row r="215" spans="4:5">
      <c r="D215" s="4" t="str">
        <f t="shared" si="6"/>
        <v>Bild 1</v>
      </c>
      <c r="E215" s="4" t="str">
        <f t="shared" si="7"/>
        <v>Bild 2</v>
      </c>
    </row>
    <row r="216" spans="4:5">
      <c r="D216" s="4" t="str">
        <f t="shared" si="6"/>
        <v>Bild 1</v>
      </c>
      <c r="E216" s="4" t="str">
        <f t="shared" si="7"/>
        <v>Bild 2</v>
      </c>
    </row>
    <row r="217" spans="4:5">
      <c r="D217" s="4" t="str">
        <f t="shared" si="6"/>
        <v>Bild 1</v>
      </c>
      <c r="E217" s="4" t="str">
        <f t="shared" si="7"/>
        <v>Bild 2</v>
      </c>
    </row>
    <row r="218" spans="4:5">
      <c r="D218" s="4" t="str">
        <f t="shared" si="6"/>
        <v>Bild 1</v>
      </c>
      <c r="E218" s="4" t="str">
        <f t="shared" si="7"/>
        <v>Bild 2</v>
      </c>
    </row>
    <row r="219" spans="4:5">
      <c r="D219" s="4" t="str">
        <f t="shared" si="6"/>
        <v>Bild 1</v>
      </c>
      <c r="E219" s="4" t="str">
        <f t="shared" si="7"/>
        <v>Bild 2</v>
      </c>
    </row>
    <row r="220" spans="4:5">
      <c r="D220" s="4" t="str">
        <f t="shared" si="6"/>
        <v>Bild 1</v>
      </c>
      <c r="E220" s="4" t="str">
        <f t="shared" si="7"/>
        <v>Bild 2</v>
      </c>
    </row>
    <row r="221" spans="4:5">
      <c r="D221" s="4" t="str">
        <f t="shared" si="6"/>
        <v>Bild 1</v>
      </c>
      <c r="E221" s="4" t="str">
        <f t="shared" si="7"/>
        <v>Bild 2</v>
      </c>
    </row>
    <row r="222" spans="4:5">
      <c r="D222" s="4" t="str">
        <f t="shared" si="6"/>
        <v>Bild 1</v>
      </c>
      <c r="E222" s="4" t="str">
        <f t="shared" si="7"/>
        <v>Bild 2</v>
      </c>
    </row>
    <row r="223" spans="4:5">
      <c r="D223" s="4" t="str">
        <f t="shared" si="6"/>
        <v>Bild 1</v>
      </c>
      <c r="E223" s="4" t="str">
        <f t="shared" si="7"/>
        <v>Bild 2</v>
      </c>
    </row>
    <row r="224" spans="4:5">
      <c r="D224" s="4" t="str">
        <f t="shared" si="6"/>
        <v>Bild 1</v>
      </c>
      <c r="E224" s="4" t="str">
        <f t="shared" si="7"/>
        <v>Bild 2</v>
      </c>
    </row>
    <row r="225" spans="4:5">
      <c r="D225" s="4" t="str">
        <f t="shared" si="6"/>
        <v>Bild 1</v>
      </c>
      <c r="E225" s="4" t="str">
        <f t="shared" si="7"/>
        <v>Bild 2</v>
      </c>
    </row>
    <row r="226" spans="4:5">
      <c r="D226" s="4" t="str">
        <f t="shared" si="6"/>
        <v>Bild 1</v>
      </c>
      <c r="E226" s="4" t="str">
        <f t="shared" si="7"/>
        <v>Bild 2</v>
      </c>
    </row>
    <row r="227" spans="4:5">
      <c r="D227" s="4" t="str">
        <f t="shared" si="6"/>
        <v>Bild 1</v>
      </c>
      <c r="E227" s="4" t="str">
        <f t="shared" si="7"/>
        <v>Bild 2</v>
      </c>
    </row>
    <row r="228" spans="4:5">
      <c r="D228" s="4" t="str">
        <f t="shared" si="6"/>
        <v>Bild 1</v>
      </c>
      <c r="E228" s="4" t="str">
        <f t="shared" si="7"/>
        <v>Bild 2</v>
      </c>
    </row>
    <row r="229" spans="4:5">
      <c r="D229" s="4" t="str">
        <f t="shared" si="6"/>
        <v>Bild 1</v>
      </c>
      <c r="E229" s="4" t="str">
        <f t="shared" si="7"/>
        <v>Bild 2</v>
      </c>
    </row>
    <row r="230" spans="4:5">
      <c r="D230" s="4" t="str">
        <f t="shared" si="6"/>
        <v>Bild 1</v>
      </c>
      <c r="E230" s="4" t="str">
        <f t="shared" si="7"/>
        <v>Bild 2</v>
      </c>
    </row>
    <row r="231" spans="4:5">
      <c r="D231" s="4" t="str">
        <f t="shared" si="6"/>
        <v>Bild 1</v>
      </c>
      <c r="E231" s="4" t="str">
        <f t="shared" si="7"/>
        <v>Bild 2</v>
      </c>
    </row>
    <row r="232" spans="4:5">
      <c r="D232" s="4" t="str">
        <f t="shared" si="6"/>
        <v>Bild 1</v>
      </c>
      <c r="E232" s="4" t="str">
        <f t="shared" si="7"/>
        <v>Bild 2</v>
      </c>
    </row>
    <row r="233" spans="4:5">
      <c r="D233" s="4" t="str">
        <f t="shared" si="6"/>
        <v>Bild 1</v>
      </c>
      <c r="E233" s="4" t="str">
        <f t="shared" si="7"/>
        <v>Bild 2</v>
      </c>
    </row>
    <row r="234" spans="4:5">
      <c r="D234" s="4" t="str">
        <f t="shared" si="6"/>
        <v>Bild 1</v>
      </c>
      <c r="E234" s="4" t="str">
        <f t="shared" si="7"/>
        <v>Bild 2</v>
      </c>
    </row>
    <row r="235" spans="4:5">
      <c r="D235" s="4" t="str">
        <f t="shared" si="6"/>
        <v>Bild 1</v>
      </c>
      <c r="E235" s="4" t="str">
        <f t="shared" si="7"/>
        <v>Bild 2</v>
      </c>
    </row>
    <row r="236" spans="4:5">
      <c r="D236" s="4" t="str">
        <f t="shared" si="6"/>
        <v>Bild 1</v>
      </c>
      <c r="E236" s="4" t="str">
        <f t="shared" si="7"/>
        <v>Bild 2</v>
      </c>
    </row>
    <row r="237" spans="4:5">
      <c r="D237" s="4" t="str">
        <f t="shared" si="6"/>
        <v>Bild 1</v>
      </c>
      <c r="E237" s="4" t="str">
        <f t="shared" si="7"/>
        <v>Bild 2</v>
      </c>
    </row>
    <row r="238" spans="4:5">
      <c r="D238" s="4" t="str">
        <f t="shared" si="6"/>
        <v>Bild 1</v>
      </c>
      <c r="E238" s="4" t="str">
        <f t="shared" si="7"/>
        <v>Bild 2</v>
      </c>
    </row>
    <row r="239" spans="4:5">
      <c r="D239" s="4" t="str">
        <f t="shared" si="6"/>
        <v>Bild 1</v>
      </c>
      <c r="E239" s="4" t="str">
        <f t="shared" si="7"/>
        <v>Bild 2</v>
      </c>
    </row>
    <row r="240" spans="4:5">
      <c r="D240" s="4" t="str">
        <f t="shared" si="6"/>
        <v>Bild 1</v>
      </c>
      <c r="E240" s="4" t="str">
        <f t="shared" si="7"/>
        <v>Bild 2</v>
      </c>
    </row>
    <row r="241" spans="4:5">
      <c r="D241" s="4" t="str">
        <f t="shared" si="6"/>
        <v>Bild 1</v>
      </c>
      <c r="E241" s="4" t="str">
        <f t="shared" si="7"/>
        <v>Bild 2</v>
      </c>
    </row>
    <row r="242" spans="4:5">
      <c r="D242" s="4" t="str">
        <f t="shared" si="6"/>
        <v>Bild 1</v>
      </c>
      <c r="E242" s="4" t="str">
        <f t="shared" si="7"/>
        <v>Bild 2</v>
      </c>
    </row>
    <row r="243" spans="4:5">
      <c r="D243" s="4" t="str">
        <f t="shared" si="6"/>
        <v>Bild 1</v>
      </c>
      <c r="E243" s="4" t="str">
        <f t="shared" si="7"/>
        <v>Bild 2</v>
      </c>
    </row>
    <row r="244" spans="4:5">
      <c r="D244" s="4" t="str">
        <f t="shared" si="6"/>
        <v>Bild 1</v>
      </c>
      <c r="E244" s="4" t="str">
        <f t="shared" si="7"/>
        <v>Bild 2</v>
      </c>
    </row>
    <row r="245" spans="4:5">
      <c r="D245" s="4" t="str">
        <f t="shared" si="6"/>
        <v>Bild 1</v>
      </c>
      <c r="E245" s="4" t="str">
        <f t="shared" si="7"/>
        <v>Bild 2</v>
      </c>
    </row>
    <row r="246" spans="4:5">
      <c r="D246" s="4" t="str">
        <f t="shared" si="6"/>
        <v>Bild 1</v>
      </c>
      <c r="E246" s="4" t="str">
        <f t="shared" si="7"/>
        <v>Bild 2</v>
      </c>
    </row>
    <row r="247" spans="4:5">
      <c r="D247" s="4" t="str">
        <f t="shared" si="6"/>
        <v>Bild 1</v>
      </c>
      <c r="E247" s="4" t="str">
        <f t="shared" si="7"/>
        <v>Bild 2</v>
      </c>
    </row>
    <row r="248" spans="4:5">
      <c r="D248" s="4" t="str">
        <f t="shared" si="6"/>
        <v>Bild 1</v>
      </c>
      <c r="E248" s="4" t="str">
        <f t="shared" si="7"/>
        <v>Bild 2</v>
      </c>
    </row>
    <row r="249" spans="4:5">
      <c r="D249" s="4" t="str">
        <f t="shared" si="6"/>
        <v>Bild 1</v>
      </c>
      <c r="E249" s="4" t="str">
        <f t="shared" si="7"/>
        <v>Bild 2</v>
      </c>
    </row>
    <row r="250" spans="4:5">
      <c r="D250" s="4" t="str">
        <f t="shared" si="6"/>
        <v>Bild 1</v>
      </c>
      <c r="E250" s="4" t="str">
        <f t="shared" si="7"/>
        <v>Bild 2</v>
      </c>
    </row>
    <row r="251" spans="4:5">
      <c r="D251" s="4" t="str">
        <f t="shared" si="6"/>
        <v>Bild 1</v>
      </c>
      <c r="E251" s="4" t="str">
        <f t="shared" si="7"/>
        <v>Bild 2</v>
      </c>
    </row>
    <row r="252" spans="4:5">
      <c r="D252" s="4" t="str">
        <f t="shared" si="6"/>
        <v>Bild 1</v>
      </c>
      <c r="E252" s="4" t="str">
        <f t="shared" si="7"/>
        <v>Bild 2</v>
      </c>
    </row>
    <row r="253" spans="4:5">
      <c r="D253" s="4" t="str">
        <f t="shared" si="6"/>
        <v>Bild 1</v>
      </c>
      <c r="E253" s="4" t="str">
        <f t="shared" si="7"/>
        <v>Bild 2</v>
      </c>
    </row>
    <row r="254" spans="4:5">
      <c r="D254" s="4" t="str">
        <f t="shared" si="6"/>
        <v>Bild 1</v>
      </c>
      <c r="E254" s="4" t="str">
        <f t="shared" si="7"/>
        <v>Bild 2</v>
      </c>
    </row>
    <row r="255" spans="4:5">
      <c r="D255" s="4" t="str">
        <f t="shared" si="6"/>
        <v>Bild 1</v>
      </c>
      <c r="E255" s="4" t="str">
        <f t="shared" si="7"/>
        <v>Bild 2</v>
      </c>
    </row>
    <row r="256" spans="4:5">
      <c r="D256" s="4" t="str">
        <f t="shared" si="6"/>
        <v>Bild 1</v>
      </c>
      <c r="E256" s="4" t="str">
        <f t="shared" si="7"/>
        <v>Bild 2</v>
      </c>
    </row>
    <row r="257" spans="4:5">
      <c r="D257" s="4" t="str">
        <f t="shared" si="6"/>
        <v>Bild 1</v>
      </c>
      <c r="E257" s="4" t="str">
        <f t="shared" si="7"/>
        <v>Bild 2</v>
      </c>
    </row>
    <row r="258" spans="4:5">
      <c r="D258" s="4" t="str">
        <f t="shared" si="6"/>
        <v>Bild 1</v>
      </c>
      <c r="E258" s="4" t="str">
        <f t="shared" si="7"/>
        <v>Bild 2</v>
      </c>
    </row>
    <row r="259" spans="4:5">
      <c r="D259" s="4" t="str">
        <f t="shared" si="6"/>
        <v>Bild 1</v>
      </c>
      <c r="E259" s="4" t="str">
        <f t="shared" si="7"/>
        <v>Bild 2</v>
      </c>
    </row>
    <row r="260" spans="4:5">
      <c r="D260" s="4" t="str">
        <f t="shared" si="6"/>
        <v>Bild 1</v>
      </c>
      <c r="E260" s="4" t="str">
        <f t="shared" si="7"/>
        <v>Bild 2</v>
      </c>
    </row>
    <row r="261" spans="4:5">
      <c r="D261" s="4" t="str">
        <f t="shared" si="6"/>
        <v>Bild 1</v>
      </c>
      <c r="E261" s="4" t="str">
        <f t="shared" si="7"/>
        <v>Bild 2</v>
      </c>
    </row>
    <row r="262" spans="4:5">
      <c r="D262" s="4" t="str">
        <f t="shared" si="6"/>
        <v>Bild 1</v>
      </c>
      <c r="E262" s="4" t="str">
        <f t="shared" si="7"/>
        <v>Bild 2</v>
      </c>
    </row>
    <row r="263" spans="4:5">
      <c r="D263" s="4" t="str">
        <f t="shared" si="6"/>
        <v>Bild 1</v>
      </c>
      <c r="E263" s="4" t="str">
        <f t="shared" si="7"/>
        <v>Bild 2</v>
      </c>
    </row>
    <row r="264" spans="4:5">
      <c r="D264" s="4" t="str">
        <f t="shared" si="6"/>
        <v>Bild 1</v>
      </c>
      <c r="E264" s="4" t="str">
        <f t="shared" si="7"/>
        <v>Bild 2</v>
      </c>
    </row>
    <row r="265" spans="4:5">
      <c r="D265" s="4" t="str">
        <f t="shared" si="6"/>
        <v>Bild 1</v>
      </c>
      <c r="E265" s="4" t="str">
        <f t="shared" si="7"/>
        <v>Bild 2</v>
      </c>
    </row>
    <row r="266" spans="4:5">
      <c r="D266" s="4" t="str">
        <f t="shared" si="6"/>
        <v>Bild 1</v>
      </c>
      <c r="E266" s="4" t="str">
        <f t="shared" si="7"/>
        <v>Bild 2</v>
      </c>
    </row>
    <row r="267" spans="4:5">
      <c r="D267" s="4" t="str">
        <f t="shared" ref="D267:D280" si="8">IF(B267&lt;&gt;"(Leer)",HYPERLINK("https://kc.humanitarianresponse.info/attachment/original?media_file=sam_global/attachments/"&amp;B267,"Bild 1"),"")</f>
        <v>Bild 1</v>
      </c>
      <c r="E267" s="4" t="str">
        <f t="shared" ref="E267:E280" si="9">IF(C267&lt;&gt;"(Leer)",HYPERLINK("https://kc.humanitarianresponse.info/attachment/original?media_file=sam_global/attachments/"&amp;C267,"Bild 2"),"")</f>
        <v>Bild 2</v>
      </c>
    </row>
    <row r="268" spans="4:5">
      <c r="D268" s="4" t="str">
        <f t="shared" si="8"/>
        <v>Bild 1</v>
      </c>
      <c r="E268" s="4" t="str">
        <f t="shared" si="9"/>
        <v>Bild 2</v>
      </c>
    </row>
    <row r="269" spans="4:5">
      <c r="D269" s="4" t="str">
        <f t="shared" si="8"/>
        <v>Bild 1</v>
      </c>
      <c r="E269" s="4" t="str">
        <f t="shared" si="9"/>
        <v>Bild 2</v>
      </c>
    </row>
    <row r="270" spans="4:5">
      <c r="D270" s="4" t="str">
        <f t="shared" si="8"/>
        <v>Bild 1</v>
      </c>
      <c r="E270" s="4" t="str">
        <f t="shared" si="9"/>
        <v>Bild 2</v>
      </c>
    </row>
    <row r="271" spans="4:5">
      <c r="D271" s="4" t="str">
        <f t="shared" si="8"/>
        <v>Bild 1</v>
      </c>
      <c r="E271" s="4" t="str">
        <f t="shared" si="9"/>
        <v>Bild 2</v>
      </c>
    </row>
    <row r="272" spans="4:5">
      <c r="D272" s="4" t="str">
        <f t="shared" si="8"/>
        <v>Bild 1</v>
      </c>
      <c r="E272" s="4" t="str">
        <f t="shared" si="9"/>
        <v>Bild 2</v>
      </c>
    </row>
    <row r="273" spans="4:5">
      <c r="D273" s="4" t="str">
        <f t="shared" si="8"/>
        <v>Bild 1</v>
      </c>
      <c r="E273" s="4" t="str">
        <f t="shared" si="9"/>
        <v>Bild 2</v>
      </c>
    </row>
    <row r="274" spans="4:5">
      <c r="D274" s="4" t="str">
        <f t="shared" si="8"/>
        <v>Bild 1</v>
      </c>
      <c r="E274" s="4" t="str">
        <f t="shared" si="9"/>
        <v>Bild 2</v>
      </c>
    </row>
    <row r="275" spans="4:5">
      <c r="D275" s="4" t="str">
        <f t="shared" si="8"/>
        <v>Bild 1</v>
      </c>
      <c r="E275" s="4" t="str">
        <f t="shared" si="9"/>
        <v>Bild 2</v>
      </c>
    </row>
    <row r="276" spans="4:5">
      <c r="D276" s="4" t="str">
        <f t="shared" si="8"/>
        <v>Bild 1</v>
      </c>
      <c r="E276" s="4" t="str">
        <f t="shared" si="9"/>
        <v>Bild 2</v>
      </c>
    </row>
    <row r="277" spans="4:5">
      <c r="D277" s="4" t="str">
        <f t="shared" si="8"/>
        <v>Bild 1</v>
      </c>
      <c r="E277" s="4" t="str">
        <f t="shared" si="9"/>
        <v>Bild 2</v>
      </c>
    </row>
    <row r="278" spans="4:5">
      <c r="D278" s="4" t="str">
        <f t="shared" si="8"/>
        <v>Bild 1</v>
      </c>
      <c r="E278" s="4" t="str">
        <f t="shared" si="9"/>
        <v>Bild 2</v>
      </c>
    </row>
    <row r="279" spans="4:5">
      <c r="D279" s="4" t="str">
        <f t="shared" si="8"/>
        <v>Bild 1</v>
      </c>
      <c r="E279" s="4" t="str">
        <f t="shared" si="9"/>
        <v>Bild 2</v>
      </c>
    </row>
    <row r="280" spans="4:5">
      <c r="D280" s="4" t="str">
        <f t="shared" si="8"/>
        <v>Bild 1</v>
      </c>
      <c r="E280" s="4" t="str">
        <f t="shared" si="9"/>
        <v>Bild 2</v>
      </c>
    </row>
  </sheetData>
  <pageMargins left="0.7" right="0.7" top="0.78740157499999996" bottom="0.78740157499999996" header="0.3" footer="0.3"/>
  <pageSetup paperSize="9" orientation="portrait" horizontalDpi="4294967293" verticalDpi="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C147C-FF7C-41EC-899B-8A99806D23FF}">
  <dimension ref="A1:BE25"/>
  <sheetViews>
    <sheetView topLeftCell="AF1" workbookViewId="0">
      <selection activeCell="AI1" sqref="AI1:AI1048576"/>
    </sheetView>
  </sheetViews>
  <sheetFormatPr baseColWidth="10" defaultRowHeight="15"/>
  <cols>
    <col min="1" max="1" width="8.28515625" bestFit="1" customWidth="1"/>
    <col min="2" max="3" width="15.140625" bestFit="1" customWidth="1"/>
    <col min="4" max="4" width="8.5703125" bestFit="1" customWidth="1"/>
    <col min="5" max="5" width="12.7109375" bestFit="1" customWidth="1"/>
    <col min="6" max="6" width="22.5703125" bestFit="1" customWidth="1"/>
    <col min="7" max="7" width="24.42578125" bestFit="1" customWidth="1"/>
    <col min="8" max="8" width="35.140625" bestFit="1" customWidth="1"/>
    <col min="9" max="9" width="69.140625" bestFit="1" customWidth="1"/>
    <col min="10" max="10" width="25" bestFit="1" customWidth="1"/>
    <col min="11" max="11" width="25.140625" bestFit="1" customWidth="1"/>
    <col min="12" max="12" width="24.85546875" bestFit="1" customWidth="1"/>
    <col min="13" max="25" width="24" bestFit="1" customWidth="1"/>
    <col min="26" max="26" width="33.5703125" bestFit="1" customWidth="1"/>
    <col min="27" max="27" width="67.5703125" bestFit="1" customWidth="1"/>
    <col min="28" max="28" width="63.42578125" bestFit="1" customWidth="1"/>
    <col min="29" max="29" width="64" bestFit="1" customWidth="1"/>
    <col min="30" max="30" width="65.28515625" bestFit="1" customWidth="1"/>
    <col min="31" max="31" width="68.5703125" bestFit="1" customWidth="1"/>
    <col min="32" max="32" width="56.28515625" bestFit="1" customWidth="1"/>
    <col min="33" max="33" width="62.28515625" bestFit="1" customWidth="1"/>
    <col min="34" max="34" width="48.7109375" bestFit="1" customWidth="1"/>
    <col min="35" max="35" width="47.5703125" bestFit="1" customWidth="1"/>
    <col min="36" max="36" width="58.28515625" bestFit="1" customWidth="1"/>
    <col min="37" max="37" width="40.7109375" bestFit="1" customWidth="1"/>
    <col min="38" max="38" width="53.5703125" bestFit="1" customWidth="1"/>
    <col min="39" max="39" width="54.85546875" bestFit="1" customWidth="1"/>
    <col min="40" max="40" width="58.7109375" bestFit="1" customWidth="1"/>
    <col min="41" max="41" width="59.28515625" bestFit="1" customWidth="1"/>
    <col min="42" max="42" width="60.5703125" bestFit="1" customWidth="1"/>
    <col min="43" max="43" width="25.28515625" bestFit="1" customWidth="1"/>
    <col min="44" max="44" width="24.7109375" bestFit="1" customWidth="1"/>
    <col min="45" max="45" width="25.5703125" bestFit="1" customWidth="1"/>
    <col min="46" max="46" width="24.85546875" bestFit="1" customWidth="1"/>
    <col min="47" max="47" width="25.5703125" bestFit="1" customWidth="1"/>
    <col min="48" max="48" width="26" bestFit="1" customWidth="1"/>
    <col min="49" max="49" width="42" bestFit="1" customWidth="1"/>
    <col min="50" max="50" width="10" bestFit="1" customWidth="1"/>
    <col min="51" max="51" width="37.28515625" bestFit="1" customWidth="1"/>
    <col min="52" max="52" width="19.5703125" bestFit="1" customWidth="1"/>
    <col min="53" max="53" width="9.28515625" bestFit="1" customWidth="1"/>
    <col min="54" max="54" width="21.85546875" bestFit="1" customWidth="1"/>
    <col min="55" max="55" width="16.140625" bestFit="1" customWidth="1"/>
    <col min="56" max="56" width="7.85546875" bestFit="1" customWidth="1"/>
    <col min="57" max="57" width="9.28515625" customWidth="1"/>
  </cols>
  <sheetData>
    <row r="1" spans="1:57">
      <c r="A1" t="s">
        <v>91</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542</v>
      </c>
      <c r="AJ1" t="s">
        <v>34</v>
      </c>
      <c r="AK1" t="s">
        <v>35</v>
      </c>
      <c r="AL1" t="s">
        <v>36</v>
      </c>
      <c r="AM1" t="s">
        <v>37</v>
      </c>
      <c r="AN1" t="s">
        <v>38</v>
      </c>
      <c r="AO1" t="s">
        <v>39</v>
      </c>
      <c r="AP1" t="s">
        <v>40</v>
      </c>
      <c r="AQ1" t="s">
        <v>41</v>
      </c>
      <c r="AR1" t="s">
        <v>42</v>
      </c>
      <c r="AS1" t="s">
        <v>43</v>
      </c>
      <c r="AT1" t="s">
        <v>44</v>
      </c>
      <c r="AU1" t="s">
        <v>45</v>
      </c>
      <c r="AV1" t="s">
        <v>46</v>
      </c>
      <c r="AW1" t="s">
        <v>47</v>
      </c>
      <c r="AX1" t="s">
        <v>48</v>
      </c>
      <c r="AY1" t="s">
        <v>49</v>
      </c>
      <c r="AZ1" t="s">
        <v>50</v>
      </c>
      <c r="BA1" t="s">
        <v>51</v>
      </c>
      <c r="BB1" t="s">
        <v>52</v>
      </c>
      <c r="BC1" t="s">
        <v>53</v>
      </c>
      <c r="BD1" t="s">
        <v>54</v>
      </c>
      <c r="BE1" t="s">
        <v>55</v>
      </c>
    </row>
    <row r="2" spans="1:57">
      <c r="A2" s="2">
        <f>Haupttabelle[[#This Row],[_index]]</f>
        <v>1</v>
      </c>
      <c r="B2" s="1">
        <v>44314.858029629628</v>
      </c>
      <c r="C2" s="1">
        <v>44314.858271006946</v>
      </c>
      <c r="D2" s="2" t="s">
        <v>56</v>
      </c>
      <c r="E2" s="2" t="s">
        <v>79</v>
      </c>
      <c r="F2" s="2" t="s">
        <v>246</v>
      </c>
      <c r="G2" s="2" t="s">
        <v>247</v>
      </c>
      <c r="H2" s="2" t="s">
        <v>237</v>
      </c>
      <c r="I2" s="2" t="s">
        <v>233</v>
      </c>
      <c r="J2" t="b">
        <v>0</v>
      </c>
      <c r="K2" t="b">
        <v>0</v>
      </c>
      <c r="L2" t="b">
        <v>0</v>
      </c>
      <c r="M2" t="b">
        <v>0</v>
      </c>
      <c r="N2" t="b">
        <v>0</v>
      </c>
      <c r="O2" t="b">
        <v>0</v>
      </c>
      <c r="P2" t="b">
        <v>0</v>
      </c>
      <c r="Q2" t="b">
        <v>0</v>
      </c>
      <c r="R2" t="b">
        <v>0</v>
      </c>
      <c r="S2" t="b">
        <v>0</v>
      </c>
      <c r="T2" t="b">
        <v>0</v>
      </c>
      <c r="U2" t="b">
        <v>0</v>
      </c>
      <c r="V2" t="b">
        <v>0</v>
      </c>
      <c r="W2" t="b">
        <v>1</v>
      </c>
      <c r="X2" t="b">
        <v>0</v>
      </c>
      <c r="Y2" t="b">
        <v>0</v>
      </c>
      <c r="AA2" s="2"/>
      <c r="AB2" s="2"/>
      <c r="AE2" s="2"/>
      <c r="AF2" s="2"/>
      <c r="AG2" s="2"/>
      <c r="AI2" s="2"/>
      <c r="AJ2" s="2"/>
      <c r="AK2" s="2" t="s">
        <v>334</v>
      </c>
      <c r="AL2">
        <v>4</v>
      </c>
      <c r="AM2">
        <v>5</v>
      </c>
      <c r="AN2" s="2"/>
      <c r="AQ2" s="2" t="s">
        <v>69</v>
      </c>
      <c r="AR2" s="2" t="s">
        <v>70</v>
      </c>
      <c r="AS2" s="2" t="s">
        <v>71</v>
      </c>
      <c r="AT2" s="2" t="s">
        <v>72</v>
      </c>
      <c r="AU2" s="2" t="s">
        <v>73</v>
      </c>
      <c r="AV2" s="2" t="s">
        <v>335</v>
      </c>
      <c r="AW2" s="2" t="s">
        <v>336</v>
      </c>
      <c r="AX2">
        <v>174598046</v>
      </c>
      <c r="AY2" s="2" t="s">
        <v>337</v>
      </c>
      <c r="AZ2" s="1">
        <v>44314.775046296294</v>
      </c>
      <c r="BA2">
        <v>1</v>
      </c>
      <c r="BC2">
        <v>-1</v>
      </c>
      <c r="BD2" s="2" t="s">
        <v>77</v>
      </c>
      <c r="BE2" s="2" t="s">
        <v>77</v>
      </c>
    </row>
    <row r="3" spans="1:57">
      <c r="A3" s="2">
        <f>Haupttabelle[[#This Row],[_index]]</f>
        <v>2</v>
      </c>
      <c r="B3" s="1">
        <v>44314.680660266204</v>
      </c>
      <c r="C3" s="1">
        <v>44314.685333680558</v>
      </c>
      <c r="D3" s="2" t="s">
        <v>56</v>
      </c>
      <c r="E3" s="2" t="s">
        <v>57</v>
      </c>
      <c r="F3" s="2" t="s">
        <v>58</v>
      </c>
      <c r="G3" s="2" t="s">
        <v>59</v>
      </c>
      <c r="H3" s="2" t="s">
        <v>60</v>
      </c>
      <c r="I3" s="2" t="s">
        <v>61</v>
      </c>
      <c r="J3" t="b">
        <v>1</v>
      </c>
      <c r="K3" t="b">
        <v>1</v>
      </c>
      <c r="L3" t="b">
        <v>1</v>
      </c>
      <c r="M3" t="b">
        <v>1</v>
      </c>
      <c r="N3" t="b">
        <v>1</v>
      </c>
      <c r="O3" t="b">
        <v>1</v>
      </c>
      <c r="P3" t="b">
        <v>1</v>
      </c>
      <c r="Q3" t="b">
        <v>1</v>
      </c>
      <c r="R3" t="b">
        <v>1</v>
      </c>
      <c r="S3" t="b">
        <v>1</v>
      </c>
      <c r="T3" t="b">
        <v>1</v>
      </c>
      <c r="U3" t="b">
        <v>1</v>
      </c>
      <c r="V3" t="b">
        <v>1</v>
      </c>
      <c r="W3" t="b">
        <v>1</v>
      </c>
      <c r="X3" t="b">
        <v>1</v>
      </c>
      <c r="Y3" t="b">
        <v>1</v>
      </c>
      <c r="Z3">
        <v>10</v>
      </c>
      <c r="AA3" s="2" t="s">
        <v>62</v>
      </c>
      <c r="AB3" s="2" t="s">
        <v>63</v>
      </c>
      <c r="AC3">
        <v>3</v>
      </c>
      <c r="AD3">
        <v>4</v>
      </c>
      <c r="AE3" s="2" t="s">
        <v>64</v>
      </c>
      <c r="AF3" s="2" t="s">
        <v>62</v>
      </c>
      <c r="AG3" s="2" t="s">
        <v>65</v>
      </c>
      <c r="AI3" s="2"/>
      <c r="AJ3" s="2" t="s">
        <v>66</v>
      </c>
      <c r="AK3" s="2" t="s">
        <v>67</v>
      </c>
      <c r="AL3">
        <v>44</v>
      </c>
      <c r="AM3">
        <v>55</v>
      </c>
      <c r="AN3" s="2" t="s">
        <v>68</v>
      </c>
      <c r="AO3">
        <v>3</v>
      </c>
      <c r="AP3">
        <v>4</v>
      </c>
      <c r="AQ3" s="2" t="s">
        <v>69</v>
      </c>
      <c r="AR3" s="2" t="s">
        <v>70</v>
      </c>
      <c r="AS3" s="2" t="s">
        <v>71</v>
      </c>
      <c r="AT3" s="2" t="s">
        <v>72</v>
      </c>
      <c r="AU3" s="2" t="s">
        <v>73</v>
      </c>
      <c r="AV3" s="2" t="s">
        <v>74</v>
      </c>
      <c r="AW3" s="2" t="s">
        <v>75</v>
      </c>
      <c r="AX3">
        <v>174531180</v>
      </c>
      <c r="AY3" s="2" t="s">
        <v>76</v>
      </c>
      <c r="AZ3" s="1">
        <v>44314.602118055554</v>
      </c>
      <c r="BA3">
        <v>2</v>
      </c>
      <c r="BC3">
        <v>-1</v>
      </c>
      <c r="BD3" s="2" t="s">
        <v>77</v>
      </c>
      <c r="BE3" s="2" t="s">
        <v>77</v>
      </c>
    </row>
    <row r="4" spans="1:57">
      <c r="A4" s="2">
        <f>Haupttabelle[[#This Row],[_index]]</f>
        <v>3</v>
      </c>
      <c r="B4" s="1">
        <v>44314.685334155096</v>
      </c>
      <c r="C4" s="1">
        <v>44314.69003568287</v>
      </c>
      <c r="D4" s="2" t="s">
        <v>78</v>
      </c>
      <c r="E4" s="2" t="s">
        <v>79</v>
      </c>
      <c r="F4" s="2" t="s">
        <v>80</v>
      </c>
      <c r="G4" s="2" t="s">
        <v>81</v>
      </c>
      <c r="H4" s="2" t="s">
        <v>82</v>
      </c>
      <c r="I4" s="2" t="s">
        <v>61</v>
      </c>
      <c r="J4" t="b">
        <v>1</v>
      </c>
      <c r="K4" t="b">
        <v>1</v>
      </c>
      <c r="L4" t="b">
        <v>1</v>
      </c>
      <c r="M4" t="b">
        <v>1</v>
      </c>
      <c r="N4" t="b">
        <v>1</v>
      </c>
      <c r="O4" t="b">
        <v>1</v>
      </c>
      <c r="P4" t="b">
        <v>1</v>
      </c>
      <c r="Q4" t="b">
        <v>1</v>
      </c>
      <c r="R4" t="b">
        <v>1</v>
      </c>
      <c r="S4" t="b">
        <v>1</v>
      </c>
      <c r="T4" t="b">
        <v>1</v>
      </c>
      <c r="U4" t="b">
        <v>1</v>
      </c>
      <c r="V4" t="b">
        <v>1</v>
      </c>
      <c r="W4" t="b">
        <v>1</v>
      </c>
      <c r="X4" t="b">
        <v>1</v>
      </c>
      <c r="Y4" t="b">
        <v>1</v>
      </c>
      <c r="Z4">
        <v>20</v>
      </c>
      <c r="AA4" s="2" t="s">
        <v>62</v>
      </c>
      <c r="AB4" s="2" t="s">
        <v>83</v>
      </c>
      <c r="AC4">
        <v>3</v>
      </c>
      <c r="AD4">
        <v>3</v>
      </c>
      <c r="AE4" s="2" t="s">
        <v>84</v>
      </c>
      <c r="AF4" s="2" t="s">
        <v>62</v>
      </c>
      <c r="AG4" s="2" t="s">
        <v>85</v>
      </c>
      <c r="AI4" s="2"/>
      <c r="AJ4" s="2" t="s">
        <v>86</v>
      </c>
      <c r="AK4" s="2" t="s">
        <v>87</v>
      </c>
      <c r="AL4">
        <v>4</v>
      </c>
      <c r="AM4">
        <v>4</v>
      </c>
      <c r="AN4" s="2" t="s">
        <v>88</v>
      </c>
      <c r="AO4">
        <v>55</v>
      </c>
      <c r="AP4">
        <v>66</v>
      </c>
      <c r="AQ4" s="2" t="s">
        <v>69</v>
      </c>
      <c r="AR4" s="2" t="s">
        <v>70</v>
      </c>
      <c r="AS4" s="2" t="s">
        <v>71</v>
      </c>
      <c r="AT4" s="2" t="s">
        <v>72</v>
      </c>
      <c r="AU4" s="2" t="s">
        <v>73</v>
      </c>
      <c r="AV4" s="2" t="s">
        <v>74</v>
      </c>
      <c r="AW4" s="2" t="s">
        <v>89</v>
      </c>
      <c r="AX4">
        <v>174533502</v>
      </c>
      <c r="AY4" s="2" t="s">
        <v>90</v>
      </c>
      <c r="AZ4" s="1">
        <v>44314.606828703705</v>
      </c>
      <c r="BA4">
        <v>3</v>
      </c>
      <c r="BC4">
        <v>-1</v>
      </c>
      <c r="BD4" s="2" t="s">
        <v>77</v>
      </c>
      <c r="BE4" s="2" t="s">
        <v>77</v>
      </c>
    </row>
    <row r="5" spans="1:57">
      <c r="A5" s="2">
        <f>Haupttabelle[[#This Row],[_index]]</f>
        <v>4</v>
      </c>
      <c r="B5" s="1">
        <v>44314.760093715275</v>
      </c>
      <c r="C5" s="1">
        <v>44314.760257407404</v>
      </c>
      <c r="D5" s="2" t="s">
        <v>310</v>
      </c>
      <c r="E5" s="2" t="s">
        <v>234</v>
      </c>
      <c r="F5" s="2" t="s">
        <v>235</v>
      </c>
      <c r="G5" s="2" t="s">
        <v>236</v>
      </c>
      <c r="H5" s="2" t="s">
        <v>237</v>
      </c>
      <c r="I5" s="2" t="s">
        <v>189</v>
      </c>
      <c r="J5" t="b">
        <v>1</v>
      </c>
      <c r="K5" t="b">
        <v>0</v>
      </c>
      <c r="L5" t="b">
        <v>0</v>
      </c>
      <c r="M5" t="b">
        <v>0</v>
      </c>
      <c r="N5" t="b">
        <v>0</v>
      </c>
      <c r="O5" t="b">
        <v>0</v>
      </c>
      <c r="P5" t="b">
        <v>0</v>
      </c>
      <c r="Q5" t="b">
        <v>0</v>
      </c>
      <c r="R5" t="b">
        <v>0</v>
      </c>
      <c r="S5" t="b">
        <v>0</v>
      </c>
      <c r="T5" t="b">
        <v>0</v>
      </c>
      <c r="U5" t="b">
        <v>0</v>
      </c>
      <c r="V5" t="b">
        <v>0</v>
      </c>
      <c r="W5" t="b">
        <v>0</v>
      </c>
      <c r="X5" t="b">
        <v>0</v>
      </c>
      <c r="Y5" t="b">
        <v>0</v>
      </c>
      <c r="Z5">
        <v>12</v>
      </c>
      <c r="AA5" s="2"/>
      <c r="AB5" s="2"/>
      <c r="AE5" s="2"/>
      <c r="AF5" s="2"/>
      <c r="AG5" s="2"/>
      <c r="AI5" s="2"/>
      <c r="AJ5" s="2"/>
      <c r="AK5" s="2"/>
      <c r="AN5" s="2"/>
      <c r="AQ5" s="2" t="s">
        <v>69</v>
      </c>
      <c r="AR5" s="2" t="s">
        <v>70</v>
      </c>
      <c r="AS5" s="2" t="s">
        <v>71</v>
      </c>
      <c r="AT5" s="2" t="s">
        <v>72</v>
      </c>
      <c r="AU5" s="2" t="s">
        <v>73</v>
      </c>
      <c r="AV5" s="2" t="s">
        <v>316</v>
      </c>
      <c r="AW5" s="2" t="s">
        <v>317</v>
      </c>
      <c r="AX5">
        <v>174565150</v>
      </c>
      <c r="AY5" s="2" t="s">
        <v>318</v>
      </c>
      <c r="AZ5" s="1">
        <v>44314.677037037036</v>
      </c>
      <c r="BA5">
        <v>4</v>
      </c>
      <c r="BC5">
        <v>-1</v>
      </c>
      <c r="BD5" s="2" t="s">
        <v>77</v>
      </c>
      <c r="BE5" s="2" t="s">
        <v>77</v>
      </c>
    </row>
    <row r="6" spans="1:57">
      <c r="A6" s="2">
        <f>Haupttabelle[[#This Row],[_index]]</f>
        <v>5</v>
      </c>
      <c r="B6" s="1">
        <v>44314.736080069444</v>
      </c>
      <c r="C6" s="1">
        <v>44314.738969189813</v>
      </c>
      <c r="D6" s="2" t="s">
        <v>56</v>
      </c>
      <c r="E6" s="2" t="s">
        <v>234</v>
      </c>
      <c r="F6" s="2" t="s">
        <v>235</v>
      </c>
      <c r="G6" s="2" t="s">
        <v>236</v>
      </c>
      <c r="H6" s="2" t="s">
        <v>237</v>
      </c>
      <c r="I6" s="2" t="s">
        <v>238</v>
      </c>
      <c r="J6" t="b">
        <v>0</v>
      </c>
      <c r="K6" t="b">
        <v>1</v>
      </c>
      <c r="L6" t="b">
        <v>0</v>
      </c>
      <c r="M6" t="b">
        <v>1</v>
      </c>
      <c r="N6" t="b">
        <v>0</v>
      </c>
      <c r="O6" t="b">
        <v>0</v>
      </c>
      <c r="P6" t="b">
        <v>0</v>
      </c>
      <c r="Q6" t="b">
        <v>0</v>
      </c>
      <c r="R6" t="b">
        <v>0</v>
      </c>
      <c r="S6" t="b">
        <v>0</v>
      </c>
      <c r="T6" t="b">
        <v>0</v>
      </c>
      <c r="U6" t="b">
        <v>0</v>
      </c>
      <c r="V6" t="b">
        <v>0</v>
      </c>
      <c r="W6" t="b">
        <v>1</v>
      </c>
      <c r="X6" t="b">
        <v>1</v>
      </c>
      <c r="Y6" t="b">
        <v>0</v>
      </c>
      <c r="AA6" s="2" t="s">
        <v>62</v>
      </c>
      <c r="AB6" s="2" t="s">
        <v>239</v>
      </c>
      <c r="AC6">
        <v>3</v>
      </c>
      <c r="AD6">
        <v>3</v>
      </c>
      <c r="AE6" s="2" t="s">
        <v>240</v>
      </c>
      <c r="AF6" s="2" t="s">
        <v>241</v>
      </c>
      <c r="AG6" s="2"/>
      <c r="AI6" s="2"/>
      <c r="AJ6" s="2"/>
      <c r="AK6" s="2" t="s">
        <v>242</v>
      </c>
      <c r="AL6">
        <v>1</v>
      </c>
      <c r="AM6">
        <v>1</v>
      </c>
      <c r="AN6" s="2" t="s">
        <v>243</v>
      </c>
      <c r="AO6">
        <v>1</v>
      </c>
      <c r="AP6">
        <v>1</v>
      </c>
      <c r="AQ6" s="2" t="s">
        <v>69</v>
      </c>
      <c r="AR6" s="2" t="s">
        <v>70</v>
      </c>
      <c r="AS6" s="2" t="s">
        <v>71</v>
      </c>
      <c r="AT6" s="2" t="s">
        <v>72</v>
      </c>
      <c r="AU6" s="2" t="s">
        <v>73</v>
      </c>
      <c r="AV6" s="2" t="s">
        <v>74</v>
      </c>
      <c r="AW6" s="2" t="s">
        <v>244</v>
      </c>
      <c r="AX6">
        <v>174556486</v>
      </c>
      <c r="AY6" s="2" t="s">
        <v>245</v>
      </c>
      <c r="AZ6" s="1">
        <v>44314.655752314815</v>
      </c>
      <c r="BA6">
        <v>5</v>
      </c>
      <c r="BC6">
        <v>-1</v>
      </c>
      <c r="BD6" s="2" t="s">
        <v>77</v>
      </c>
      <c r="BE6" s="2" t="s">
        <v>77</v>
      </c>
    </row>
    <row r="7" spans="1:57">
      <c r="A7" s="2">
        <f>Haupttabelle[[#This Row],[_index]]</f>
        <v>6</v>
      </c>
      <c r="B7" s="1">
        <v>44314.738969687503</v>
      </c>
      <c r="C7" s="1">
        <v>44314.860755034722</v>
      </c>
      <c r="D7" s="2" t="s">
        <v>56</v>
      </c>
      <c r="E7" s="2" t="s">
        <v>79</v>
      </c>
      <c r="F7" s="2" t="s">
        <v>246</v>
      </c>
      <c r="G7" s="2" t="s">
        <v>247</v>
      </c>
      <c r="H7" s="2" t="s">
        <v>237</v>
      </c>
      <c r="I7" s="2" t="s">
        <v>233</v>
      </c>
      <c r="J7" t="b">
        <v>0</v>
      </c>
      <c r="K7" t="b">
        <v>0</v>
      </c>
      <c r="L7" t="b">
        <v>0</v>
      </c>
      <c r="M7" t="b">
        <v>0</v>
      </c>
      <c r="N7" t="b">
        <v>0</v>
      </c>
      <c r="O7" t="b">
        <v>0</v>
      </c>
      <c r="P7" t="b">
        <v>0</v>
      </c>
      <c r="Q7" t="b">
        <v>0</v>
      </c>
      <c r="R7" t="b">
        <v>0</v>
      </c>
      <c r="S7" t="b">
        <v>0</v>
      </c>
      <c r="T7" t="b">
        <v>0</v>
      </c>
      <c r="U7" t="b">
        <v>0</v>
      </c>
      <c r="V7" t="b">
        <v>0</v>
      </c>
      <c r="W7" t="b">
        <v>1</v>
      </c>
      <c r="X7" t="b">
        <v>0</v>
      </c>
      <c r="Y7" t="b">
        <v>0</v>
      </c>
      <c r="AA7" s="2"/>
      <c r="AB7" s="2"/>
      <c r="AE7" s="2"/>
      <c r="AF7" s="2"/>
      <c r="AG7" s="2"/>
      <c r="AI7" s="2"/>
      <c r="AJ7" s="2"/>
      <c r="AK7" s="2" t="s">
        <v>334</v>
      </c>
      <c r="AL7">
        <v>1</v>
      </c>
      <c r="AM7">
        <v>1</v>
      </c>
      <c r="AN7" s="2"/>
      <c r="AQ7" s="2" t="s">
        <v>69</v>
      </c>
      <c r="AR7" s="2" t="s">
        <v>70</v>
      </c>
      <c r="AS7" s="2" t="s">
        <v>71</v>
      </c>
      <c r="AT7" s="2" t="s">
        <v>72</v>
      </c>
      <c r="AU7" s="2" t="s">
        <v>73</v>
      </c>
      <c r="AV7" s="2" t="s">
        <v>335</v>
      </c>
      <c r="AW7" s="2" t="s">
        <v>338</v>
      </c>
      <c r="AX7">
        <v>174556586</v>
      </c>
      <c r="AY7" s="2" t="s">
        <v>339</v>
      </c>
      <c r="AZ7" s="1">
        <v>44314.656076388892</v>
      </c>
      <c r="BA7">
        <v>6</v>
      </c>
      <c r="BC7">
        <v>-1</v>
      </c>
      <c r="BD7" s="2" t="s">
        <v>77</v>
      </c>
      <c r="BE7" s="2" t="s">
        <v>77</v>
      </c>
    </row>
    <row r="8" spans="1:57">
      <c r="A8" s="2">
        <f>Haupttabelle[[#This Row],[_index]]</f>
        <v>7</v>
      </c>
      <c r="B8" s="1">
        <v>44314.73929878472</v>
      </c>
      <c r="C8" s="1">
        <v>44314.739563206022</v>
      </c>
      <c r="D8" s="2" t="s">
        <v>56</v>
      </c>
      <c r="E8" s="2" t="s">
        <v>248</v>
      </c>
      <c r="F8" s="2" t="s">
        <v>249</v>
      </c>
      <c r="G8" s="2" t="s">
        <v>250</v>
      </c>
      <c r="H8" s="2" t="s">
        <v>237</v>
      </c>
      <c r="I8" s="2" t="s">
        <v>233</v>
      </c>
      <c r="J8" t="b">
        <v>0</v>
      </c>
      <c r="K8" t="b">
        <v>0</v>
      </c>
      <c r="L8" t="b">
        <v>0</v>
      </c>
      <c r="M8" t="b">
        <v>0</v>
      </c>
      <c r="N8" t="b">
        <v>0</v>
      </c>
      <c r="O8" t="b">
        <v>0</v>
      </c>
      <c r="P8" t="b">
        <v>0</v>
      </c>
      <c r="Q8" t="b">
        <v>0</v>
      </c>
      <c r="R8" t="b">
        <v>0</v>
      </c>
      <c r="S8" t="b">
        <v>0</v>
      </c>
      <c r="T8" t="b">
        <v>0</v>
      </c>
      <c r="U8" t="b">
        <v>0</v>
      </c>
      <c r="V8" t="b">
        <v>0</v>
      </c>
      <c r="W8" t="b">
        <v>1</v>
      </c>
      <c r="X8" t="b">
        <v>0</v>
      </c>
      <c r="Y8" t="b">
        <v>0</v>
      </c>
      <c r="AA8" s="2"/>
      <c r="AB8" s="2"/>
      <c r="AE8" s="2"/>
      <c r="AF8" s="2"/>
      <c r="AG8" s="2"/>
      <c r="AI8" s="2"/>
      <c r="AJ8" s="2"/>
      <c r="AK8" s="2" t="s">
        <v>251</v>
      </c>
      <c r="AL8">
        <v>1</v>
      </c>
      <c r="AM8">
        <v>1</v>
      </c>
      <c r="AN8" s="2"/>
      <c r="AQ8" s="2" t="s">
        <v>69</v>
      </c>
      <c r="AR8" s="2" t="s">
        <v>70</v>
      </c>
      <c r="AS8" s="2" t="s">
        <v>71</v>
      </c>
      <c r="AT8" s="2" t="s">
        <v>72</v>
      </c>
      <c r="AU8" s="2" t="s">
        <v>73</v>
      </c>
      <c r="AV8" s="2" t="s">
        <v>74</v>
      </c>
      <c r="AW8" s="2" t="s">
        <v>252</v>
      </c>
      <c r="AX8">
        <v>174556640</v>
      </c>
      <c r="AY8" s="2" t="s">
        <v>253</v>
      </c>
      <c r="AZ8" s="1">
        <v>44314.656342592592</v>
      </c>
      <c r="BA8">
        <v>7</v>
      </c>
      <c r="BC8">
        <v>-1</v>
      </c>
      <c r="BD8" s="2" t="s">
        <v>77</v>
      </c>
      <c r="BE8" s="2" t="s">
        <v>77</v>
      </c>
    </row>
    <row r="9" spans="1:57">
      <c r="A9" s="2">
        <f>Haupttabelle[[#This Row],[_index]]</f>
        <v>8</v>
      </c>
      <c r="B9" s="1">
        <v>44314.739563819443</v>
      </c>
      <c r="C9" s="1">
        <v>44314.74049142361</v>
      </c>
      <c r="D9" s="2" t="s">
        <v>56</v>
      </c>
      <c r="E9" s="2" t="s">
        <v>254</v>
      </c>
      <c r="F9" s="2" t="s">
        <v>255</v>
      </c>
      <c r="G9" s="2" t="s">
        <v>256</v>
      </c>
      <c r="H9" s="2" t="s">
        <v>60</v>
      </c>
      <c r="I9" s="2" t="s">
        <v>238</v>
      </c>
      <c r="J9" t="b">
        <v>0</v>
      </c>
      <c r="K9" t="b">
        <v>1</v>
      </c>
      <c r="L9" t="b">
        <v>0</v>
      </c>
      <c r="M9" t="b">
        <v>1</v>
      </c>
      <c r="N9" t="b">
        <v>0</v>
      </c>
      <c r="O9" t="b">
        <v>0</v>
      </c>
      <c r="P9" t="b">
        <v>0</v>
      </c>
      <c r="Q9" t="b">
        <v>0</v>
      </c>
      <c r="R9" t="b">
        <v>0</v>
      </c>
      <c r="S9" t="b">
        <v>0</v>
      </c>
      <c r="T9" t="b">
        <v>0</v>
      </c>
      <c r="U9" t="b">
        <v>0</v>
      </c>
      <c r="V9" t="b">
        <v>0</v>
      </c>
      <c r="W9" t="b">
        <v>1</v>
      </c>
      <c r="X9" t="b">
        <v>1</v>
      </c>
      <c r="Y9" t="b">
        <v>0</v>
      </c>
      <c r="AA9" s="2" t="s">
        <v>62</v>
      </c>
      <c r="AB9" s="2" t="s">
        <v>257</v>
      </c>
      <c r="AC9">
        <v>1</v>
      </c>
      <c r="AD9">
        <v>1</v>
      </c>
      <c r="AE9" s="2" t="s">
        <v>258</v>
      </c>
      <c r="AF9" s="2" t="s">
        <v>62</v>
      </c>
      <c r="AG9" s="2" t="s">
        <v>259</v>
      </c>
      <c r="AI9" s="2"/>
      <c r="AJ9" s="2"/>
      <c r="AK9" s="2" t="s">
        <v>260</v>
      </c>
      <c r="AL9">
        <v>2</v>
      </c>
      <c r="AM9">
        <v>2</v>
      </c>
      <c r="AN9" s="2" t="s">
        <v>261</v>
      </c>
      <c r="AO9">
        <v>2</v>
      </c>
      <c r="AP9">
        <v>2</v>
      </c>
      <c r="AQ9" s="2" t="s">
        <v>69</v>
      </c>
      <c r="AR9" s="2" t="s">
        <v>70</v>
      </c>
      <c r="AS9" s="2" t="s">
        <v>71</v>
      </c>
      <c r="AT9" s="2" t="s">
        <v>72</v>
      </c>
      <c r="AU9" s="2" t="s">
        <v>73</v>
      </c>
      <c r="AV9" s="2" t="s">
        <v>74</v>
      </c>
      <c r="AW9" s="2" t="s">
        <v>262</v>
      </c>
      <c r="AX9">
        <v>174556979</v>
      </c>
      <c r="AY9" s="2" t="s">
        <v>263</v>
      </c>
      <c r="AZ9" s="1">
        <v>44314.657268518517</v>
      </c>
      <c r="BA9">
        <v>8</v>
      </c>
      <c r="BC9">
        <v>-1</v>
      </c>
      <c r="BD9" s="2" t="s">
        <v>77</v>
      </c>
      <c r="BE9" s="2" t="s">
        <v>77</v>
      </c>
    </row>
    <row r="10" spans="1:57">
      <c r="A10" s="2">
        <f>Haupttabelle[[#This Row],[_index]]</f>
        <v>9</v>
      </c>
      <c r="B10" s="1">
        <v>44314.740492164354</v>
      </c>
      <c r="C10" s="1">
        <v>44314.740796192127</v>
      </c>
      <c r="D10" s="2" t="s">
        <v>78</v>
      </c>
      <c r="E10" s="2" t="s">
        <v>264</v>
      </c>
      <c r="F10" s="2" t="s">
        <v>265</v>
      </c>
      <c r="G10" s="2" t="s">
        <v>266</v>
      </c>
      <c r="H10" s="2" t="s">
        <v>60</v>
      </c>
      <c r="I10" s="2" t="s">
        <v>233</v>
      </c>
      <c r="J10" t="b">
        <v>0</v>
      </c>
      <c r="K10" t="b">
        <v>0</v>
      </c>
      <c r="L10" t="b">
        <v>0</v>
      </c>
      <c r="M10" t="b">
        <v>0</v>
      </c>
      <c r="N10" t="b">
        <v>0</v>
      </c>
      <c r="O10" t="b">
        <v>0</v>
      </c>
      <c r="P10" t="b">
        <v>0</v>
      </c>
      <c r="Q10" t="b">
        <v>0</v>
      </c>
      <c r="R10" t="b">
        <v>0</v>
      </c>
      <c r="S10" t="b">
        <v>0</v>
      </c>
      <c r="T10" t="b">
        <v>0</v>
      </c>
      <c r="U10" t="b">
        <v>0</v>
      </c>
      <c r="V10" t="b">
        <v>0</v>
      </c>
      <c r="W10" t="b">
        <v>1</v>
      </c>
      <c r="X10" t="b">
        <v>0</v>
      </c>
      <c r="Y10" t="b">
        <v>0</v>
      </c>
      <c r="AA10" s="2"/>
      <c r="AB10" s="2"/>
      <c r="AE10" s="2"/>
      <c r="AF10" s="2"/>
      <c r="AG10" s="2"/>
      <c r="AI10" s="2"/>
      <c r="AJ10" s="2"/>
      <c r="AK10" s="2" t="s">
        <v>267</v>
      </c>
      <c r="AL10">
        <v>3</v>
      </c>
      <c r="AM10">
        <v>3</v>
      </c>
      <c r="AN10" s="2"/>
      <c r="AQ10" s="2" t="s">
        <v>69</v>
      </c>
      <c r="AR10" s="2" t="s">
        <v>70</v>
      </c>
      <c r="AS10" s="2" t="s">
        <v>71</v>
      </c>
      <c r="AT10" s="2" t="s">
        <v>72</v>
      </c>
      <c r="AU10" s="2" t="s">
        <v>73</v>
      </c>
      <c r="AV10" s="2" t="s">
        <v>74</v>
      </c>
      <c r="AW10" s="2" t="s">
        <v>268</v>
      </c>
      <c r="AX10">
        <v>174557185</v>
      </c>
      <c r="AY10" s="2" t="s">
        <v>269</v>
      </c>
      <c r="AZ10" s="1">
        <v>44314.657581018517</v>
      </c>
      <c r="BA10">
        <v>9</v>
      </c>
      <c r="BC10">
        <v>-1</v>
      </c>
      <c r="BD10" s="2" t="s">
        <v>77</v>
      </c>
      <c r="BE10" s="2" t="s">
        <v>77</v>
      </c>
    </row>
    <row r="11" spans="1:57">
      <c r="A11" s="2">
        <f>Haupttabelle[[#This Row],[_index]]</f>
        <v>10</v>
      </c>
      <c r="B11" s="1">
        <v>44314.740797071761</v>
      </c>
      <c r="C11" s="1">
        <v>44314.741473425929</v>
      </c>
      <c r="D11" s="2" t="s">
        <v>78</v>
      </c>
      <c r="E11" s="2" t="s">
        <v>270</v>
      </c>
      <c r="F11" s="2" t="s">
        <v>271</v>
      </c>
      <c r="G11" s="2" t="s">
        <v>272</v>
      </c>
      <c r="H11" s="2" t="s">
        <v>273</v>
      </c>
      <c r="I11" s="2" t="s">
        <v>238</v>
      </c>
      <c r="J11" t="b">
        <v>0</v>
      </c>
      <c r="K11" t="b">
        <v>1</v>
      </c>
      <c r="L11" t="b">
        <v>0</v>
      </c>
      <c r="M11" t="b">
        <v>1</v>
      </c>
      <c r="N11" t="b">
        <v>0</v>
      </c>
      <c r="O11" t="b">
        <v>0</v>
      </c>
      <c r="P11" t="b">
        <v>0</v>
      </c>
      <c r="Q11" t="b">
        <v>0</v>
      </c>
      <c r="R11" t="b">
        <v>0</v>
      </c>
      <c r="S11" t="b">
        <v>0</v>
      </c>
      <c r="T11" t="b">
        <v>0</v>
      </c>
      <c r="U11" t="b">
        <v>0</v>
      </c>
      <c r="V11" t="b">
        <v>0</v>
      </c>
      <c r="W11" t="b">
        <v>1</v>
      </c>
      <c r="X11" t="b">
        <v>1</v>
      </c>
      <c r="Y11" t="b">
        <v>0</v>
      </c>
      <c r="AA11" s="2" t="s">
        <v>62</v>
      </c>
      <c r="AB11" s="2" t="s">
        <v>274</v>
      </c>
      <c r="AC11">
        <v>3</v>
      </c>
      <c r="AD11">
        <v>3</v>
      </c>
      <c r="AE11" s="2" t="s">
        <v>275</v>
      </c>
      <c r="AF11" s="2" t="s">
        <v>62</v>
      </c>
      <c r="AG11" s="2" t="s">
        <v>276</v>
      </c>
      <c r="AI11" s="2"/>
      <c r="AJ11" s="2"/>
      <c r="AK11" s="2" t="s">
        <v>277</v>
      </c>
      <c r="AL11">
        <v>5</v>
      </c>
      <c r="AM11">
        <v>5</v>
      </c>
      <c r="AN11" s="2" t="s">
        <v>278</v>
      </c>
      <c r="AO11">
        <v>6</v>
      </c>
      <c r="AP11">
        <v>6</v>
      </c>
      <c r="AQ11" s="2" t="s">
        <v>69</v>
      </c>
      <c r="AR11" s="2" t="s">
        <v>70</v>
      </c>
      <c r="AS11" s="2" t="s">
        <v>71</v>
      </c>
      <c r="AT11" s="2" t="s">
        <v>72</v>
      </c>
      <c r="AU11" s="2" t="s">
        <v>73</v>
      </c>
      <c r="AV11" s="2" t="s">
        <v>74</v>
      </c>
      <c r="AW11" s="2" t="s">
        <v>279</v>
      </c>
      <c r="AX11">
        <v>174557545</v>
      </c>
      <c r="AY11" s="2" t="s">
        <v>280</v>
      </c>
      <c r="AZ11" s="1">
        <v>44314.658252314817</v>
      </c>
      <c r="BA11">
        <v>10</v>
      </c>
      <c r="BC11">
        <v>-1</v>
      </c>
      <c r="BD11" s="2" t="s">
        <v>77</v>
      </c>
      <c r="BE11" s="2" t="s">
        <v>77</v>
      </c>
    </row>
    <row r="12" spans="1:57">
      <c r="A12" s="2">
        <f>Haupttabelle[[#This Row],[_index]]</f>
        <v>11</v>
      </c>
      <c r="B12" s="1">
        <v>44314.74147439815</v>
      </c>
      <c r="C12" s="1">
        <v>44314.741748773151</v>
      </c>
      <c r="D12" s="2" t="s">
        <v>281</v>
      </c>
      <c r="E12" s="2" t="s">
        <v>282</v>
      </c>
      <c r="F12" s="2" t="s">
        <v>283</v>
      </c>
      <c r="G12" s="2" t="s">
        <v>284</v>
      </c>
      <c r="H12" s="2" t="s">
        <v>273</v>
      </c>
      <c r="I12" s="2" t="s">
        <v>233</v>
      </c>
      <c r="J12" t="b">
        <v>0</v>
      </c>
      <c r="K12" t="b">
        <v>0</v>
      </c>
      <c r="L12" t="b">
        <v>0</v>
      </c>
      <c r="M12" t="b">
        <v>0</v>
      </c>
      <c r="N12" t="b">
        <v>0</v>
      </c>
      <c r="O12" t="b">
        <v>0</v>
      </c>
      <c r="P12" t="b">
        <v>0</v>
      </c>
      <c r="Q12" t="b">
        <v>0</v>
      </c>
      <c r="R12" t="b">
        <v>0</v>
      </c>
      <c r="S12" t="b">
        <v>0</v>
      </c>
      <c r="T12" t="b">
        <v>0</v>
      </c>
      <c r="U12" t="b">
        <v>0</v>
      </c>
      <c r="V12" t="b">
        <v>0</v>
      </c>
      <c r="W12" t="b">
        <v>1</v>
      </c>
      <c r="X12" t="b">
        <v>0</v>
      </c>
      <c r="Y12" t="b">
        <v>0</v>
      </c>
      <c r="AA12" s="2"/>
      <c r="AB12" s="2"/>
      <c r="AE12" s="2"/>
      <c r="AF12" s="2"/>
      <c r="AG12" s="2"/>
      <c r="AI12" s="2"/>
      <c r="AJ12" s="2"/>
      <c r="AK12" s="2" t="s">
        <v>285</v>
      </c>
      <c r="AL12">
        <v>8</v>
      </c>
      <c r="AM12">
        <v>8</v>
      </c>
      <c r="AN12" s="2"/>
      <c r="AQ12" s="2" t="s">
        <v>69</v>
      </c>
      <c r="AR12" s="2" t="s">
        <v>70</v>
      </c>
      <c r="AS12" s="2" t="s">
        <v>71</v>
      </c>
      <c r="AT12" s="2" t="s">
        <v>72</v>
      </c>
      <c r="AU12" s="2" t="s">
        <v>73</v>
      </c>
      <c r="AV12" s="2" t="s">
        <v>74</v>
      </c>
      <c r="AW12" s="2" t="s">
        <v>286</v>
      </c>
      <c r="AX12">
        <v>174557715</v>
      </c>
      <c r="AY12" s="2" t="s">
        <v>287</v>
      </c>
      <c r="AZ12" s="1">
        <v>44314.658530092594</v>
      </c>
      <c r="BA12">
        <v>11</v>
      </c>
      <c r="BC12">
        <v>-1</v>
      </c>
      <c r="BD12" s="2" t="s">
        <v>77</v>
      </c>
      <c r="BE12" s="2" t="s">
        <v>77</v>
      </c>
    </row>
    <row r="13" spans="1:57">
      <c r="A13" s="2">
        <f>Haupttabelle[[#This Row],[_index]]</f>
        <v>12</v>
      </c>
      <c r="B13" s="1">
        <v>44314.74174986111</v>
      </c>
      <c r="C13" s="1">
        <v>44314.742104224541</v>
      </c>
      <c r="D13" s="2" t="s">
        <v>78</v>
      </c>
      <c r="E13" s="2" t="s">
        <v>288</v>
      </c>
      <c r="F13" s="2" t="s">
        <v>289</v>
      </c>
      <c r="G13" s="2" t="s">
        <v>290</v>
      </c>
      <c r="H13" s="2" t="s">
        <v>273</v>
      </c>
      <c r="I13" s="2" t="s">
        <v>233</v>
      </c>
      <c r="J13" t="b">
        <v>0</v>
      </c>
      <c r="K13" t="b">
        <v>0</v>
      </c>
      <c r="L13" t="b">
        <v>0</v>
      </c>
      <c r="M13" t="b">
        <v>0</v>
      </c>
      <c r="N13" t="b">
        <v>0</v>
      </c>
      <c r="O13" t="b">
        <v>0</v>
      </c>
      <c r="P13" t="b">
        <v>0</v>
      </c>
      <c r="Q13" t="b">
        <v>0</v>
      </c>
      <c r="R13" t="b">
        <v>0</v>
      </c>
      <c r="S13" t="b">
        <v>0</v>
      </c>
      <c r="T13" t="b">
        <v>0</v>
      </c>
      <c r="U13" t="b">
        <v>0</v>
      </c>
      <c r="V13" t="b">
        <v>0</v>
      </c>
      <c r="W13" t="b">
        <v>1</v>
      </c>
      <c r="X13" t="b">
        <v>0</v>
      </c>
      <c r="Y13" t="b">
        <v>0</v>
      </c>
      <c r="AA13" s="2"/>
      <c r="AB13" s="2"/>
      <c r="AE13" s="2"/>
      <c r="AF13" s="2"/>
      <c r="AG13" s="2"/>
      <c r="AI13" s="2"/>
      <c r="AJ13" s="2"/>
      <c r="AK13" s="2" t="s">
        <v>291</v>
      </c>
      <c r="AL13">
        <v>3</v>
      </c>
      <c r="AM13">
        <v>3</v>
      </c>
      <c r="AN13" s="2"/>
      <c r="AQ13" s="2" t="s">
        <v>69</v>
      </c>
      <c r="AR13" s="2" t="s">
        <v>70</v>
      </c>
      <c r="AS13" s="2" t="s">
        <v>71</v>
      </c>
      <c r="AT13" s="2" t="s">
        <v>72</v>
      </c>
      <c r="AU13" s="2" t="s">
        <v>73</v>
      </c>
      <c r="AV13" s="2" t="s">
        <v>74</v>
      </c>
      <c r="AW13" s="2" t="s">
        <v>292</v>
      </c>
      <c r="AX13">
        <v>174557916</v>
      </c>
      <c r="AY13" s="2" t="s">
        <v>293</v>
      </c>
      <c r="AZ13" s="1">
        <v>44314.658888888887</v>
      </c>
      <c r="BA13">
        <v>12</v>
      </c>
      <c r="BC13">
        <v>-1</v>
      </c>
      <c r="BD13" s="2" t="s">
        <v>77</v>
      </c>
      <c r="BE13" s="2" t="s">
        <v>77</v>
      </c>
    </row>
    <row r="14" spans="1:57">
      <c r="A14" s="2">
        <f>Haupttabelle[[#This Row],[_index]]</f>
        <v>13</v>
      </c>
      <c r="B14" s="1">
        <v>44314.74210541667</v>
      </c>
      <c r="C14" s="1">
        <v>44314.742746145836</v>
      </c>
      <c r="D14" s="2" t="s">
        <v>78</v>
      </c>
      <c r="E14" s="2" t="s">
        <v>294</v>
      </c>
      <c r="F14" s="2" t="s">
        <v>295</v>
      </c>
      <c r="G14" s="2" t="s">
        <v>296</v>
      </c>
      <c r="H14" s="2" t="s">
        <v>82</v>
      </c>
      <c r="I14" s="2" t="s">
        <v>238</v>
      </c>
      <c r="J14" t="b">
        <v>0</v>
      </c>
      <c r="K14" t="b">
        <v>1</v>
      </c>
      <c r="L14" t="b">
        <v>0</v>
      </c>
      <c r="M14" t="b">
        <v>1</v>
      </c>
      <c r="N14" t="b">
        <v>0</v>
      </c>
      <c r="O14" t="b">
        <v>0</v>
      </c>
      <c r="P14" t="b">
        <v>0</v>
      </c>
      <c r="Q14" t="b">
        <v>0</v>
      </c>
      <c r="R14" t="b">
        <v>0</v>
      </c>
      <c r="S14" t="b">
        <v>0</v>
      </c>
      <c r="T14" t="b">
        <v>0</v>
      </c>
      <c r="U14" t="b">
        <v>0</v>
      </c>
      <c r="V14" t="b">
        <v>0</v>
      </c>
      <c r="W14" t="b">
        <v>1</v>
      </c>
      <c r="X14" t="b">
        <v>1</v>
      </c>
      <c r="Y14" t="b">
        <v>0</v>
      </c>
      <c r="AA14" s="2" t="s">
        <v>241</v>
      </c>
      <c r="AB14" s="2" t="s">
        <v>297</v>
      </c>
      <c r="AC14">
        <v>4</v>
      </c>
      <c r="AD14">
        <v>4</v>
      </c>
      <c r="AE14" s="2" t="s">
        <v>298</v>
      </c>
      <c r="AF14" s="2" t="s">
        <v>241</v>
      </c>
      <c r="AG14" s="2"/>
      <c r="AI14" s="2"/>
      <c r="AJ14" s="2"/>
      <c r="AK14" s="2" t="s">
        <v>299</v>
      </c>
      <c r="AL14">
        <v>5</v>
      </c>
      <c r="AM14">
        <v>5</v>
      </c>
      <c r="AN14" s="2" t="s">
        <v>300</v>
      </c>
      <c r="AO14">
        <v>4</v>
      </c>
      <c r="AP14">
        <v>4</v>
      </c>
      <c r="AQ14" s="2" t="s">
        <v>69</v>
      </c>
      <c r="AR14" s="2" t="s">
        <v>70</v>
      </c>
      <c r="AS14" s="2" t="s">
        <v>71</v>
      </c>
      <c r="AT14" s="2" t="s">
        <v>72</v>
      </c>
      <c r="AU14" s="2" t="s">
        <v>73</v>
      </c>
      <c r="AV14" s="2" t="s">
        <v>74</v>
      </c>
      <c r="AW14" s="2" t="s">
        <v>301</v>
      </c>
      <c r="AX14">
        <v>174558354</v>
      </c>
      <c r="AY14" s="2" t="s">
        <v>302</v>
      </c>
      <c r="AZ14" s="1">
        <v>44314.659525462965</v>
      </c>
      <c r="BA14">
        <v>13</v>
      </c>
      <c r="BC14">
        <v>-1</v>
      </c>
      <c r="BD14" s="2" t="s">
        <v>77</v>
      </c>
      <c r="BE14" s="2" t="s">
        <v>77</v>
      </c>
    </row>
    <row r="15" spans="1:57">
      <c r="A15" s="2">
        <f>Haupttabelle[[#This Row],[_index]]</f>
        <v>14</v>
      </c>
      <c r="B15" s="1">
        <v>44314.742747395831</v>
      </c>
      <c r="C15" s="1">
        <v>44314.742992997686</v>
      </c>
      <c r="D15" s="2" t="s">
        <v>56</v>
      </c>
      <c r="E15" s="2" t="s">
        <v>303</v>
      </c>
      <c r="F15" s="2" t="s">
        <v>304</v>
      </c>
      <c r="G15" s="2" t="s">
        <v>304</v>
      </c>
      <c r="H15" s="2" t="s">
        <v>82</v>
      </c>
      <c r="I15" s="2" t="s">
        <v>233</v>
      </c>
      <c r="J15" t="b">
        <v>0</v>
      </c>
      <c r="K15" t="b">
        <v>0</v>
      </c>
      <c r="L15" t="b">
        <v>0</v>
      </c>
      <c r="M15" t="b">
        <v>0</v>
      </c>
      <c r="N15" t="b">
        <v>0</v>
      </c>
      <c r="O15" t="b">
        <v>0</v>
      </c>
      <c r="P15" t="b">
        <v>0</v>
      </c>
      <c r="Q15" t="b">
        <v>0</v>
      </c>
      <c r="R15" t="b">
        <v>0</v>
      </c>
      <c r="S15" t="b">
        <v>0</v>
      </c>
      <c r="T15" t="b">
        <v>0</v>
      </c>
      <c r="U15" t="b">
        <v>0</v>
      </c>
      <c r="V15" t="b">
        <v>0</v>
      </c>
      <c r="W15" t="b">
        <v>1</v>
      </c>
      <c r="X15" t="b">
        <v>0</v>
      </c>
      <c r="Y15" t="b">
        <v>0</v>
      </c>
      <c r="AA15" s="2"/>
      <c r="AB15" s="2"/>
      <c r="AE15" s="2"/>
      <c r="AF15" s="2"/>
      <c r="AG15" s="2"/>
      <c r="AI15" s="2"/>
      <c r="AJ15" s="2"/>
      <c r="AK15" s="2" t="s">
        <v>305</v>
      </c>
      <c r="AL15">
        <v>6</v>
      </c>
      <c r="AM15">
        <v>6</v>
      </c>
      <c r="AN15" s="2"/>
      <c r="AQ15" s="2" t="s">
        <v>69</v>
      </c>
      <c r="AR15" s="2" t="s">
        <v>70</v>
      </c>
      <c r="AS15" s="2" t="s">
        <v>71</v>
      </c>
      <c r="AT15" s="2" t="s">
        <v>72</v>
      </c>
      <c r="AU15" s="2" t="s">
        <v>73</v>
      </c>
      <c r="AV15" s="2" t="s">
        <v>74</v>
      </c>
      <c r="AW15" s="2" t="s">
        <v>306</v>
      </c>
      <c r="AX15">
        <v>174558394</v>
      </c>
      <c r="AY15" s="2" t="s">
        <v>307</v>
      </c>
      <c r="AZ15" s="1">
        <v>44314.659687500003</v>
      </c>
      <c r="BA15">
        <v>14</v>
      </c>
      <c r="BC15">
        <v>-1</v>
      </c>
      <c r="BD15" s="2" t="s">
        <v>77</v>
      </c>
      <c r="BE15" s="2" t="s">
        <v>77</v>
      </c>
    </row>
    <row r="16" spans="1:57">
      <c r="A16" s="2">
        <f>Haupttabelle[[#This Row],[_index]]</f>
        <v>15</v>
      </c>
      <c r="B16" s="1">
        <v>44314.747585914352</v>
      </c>
      <c r="C16" s="1">
        <v>44314.747871273146</v>
      </c>
      <c r="D16" s="2" t="s">
        <v>310</v>
      </c>
      <c r="E16" s="2" t="s">
        <v>57</v>
      </c>
      <c r="F16" s="2" t="s">
        <v>58</v>
      </c>
      <c r="G16" s="2" t="s">
        <v>311</v>
      </c>
      <c r="H16" s="2" t="s">
        <v>237</v>
      </c>
      <c r="I16" s="2" t="s">
        <v>201</v>
      </c>
      <c r="J16" t="b">
        <v>0</v>
      </c>
      <c r="K16" t="b">
        <v>0</v>
      </c>
      <c r="L16" t="b">
        <v>0</v>
      </c>
      <c r="M16" t="b">
        <v>0</v>
      </c>
      <c r="N16" t="b">
        <v>0</v>
      </c>
      <c r="O16" t="b">
        <v>0</v>
      </c>
      <c r="P16" t="b">
        <v>1</v>
      </c>
      <c r="Q16" t="b">
        <v>0</v>
      </c>
      <c r="R16" t="b">
        <v>0</v>
      </c>
      <c r="S16" t="b">
        <v>0</v>
      </c>
      <c r="T16" t="b">
        <v>0</v>
      </c>
      <c r="U16" t="b">
        <v>0</v>
      </c>
      <c r="V16" t="b">
        <v>0</v>
      </c>
      <c r="W16" t="b">
        <v>0</v>
      </c>
      <c r="X16" t="b">
        <v>0</v>
      </c>
      <c r="Y16" t="b">
        <v>0</v>
      </c>
      <c r="AA16" s="2"/>
      <c r="AB16" s="2"/>
      <c r="AE16" s="2"/>
      <c r="AF16" s="2"/>
      <c r="AG16" s="2"/>
      <c r="AI16" s="2"/>
      <c r="AJ16" s="2"/>
      <c r="AK16" s="2"/>
      <c r="AN16" s="2"/>
      <c r="AQ16" s="2" t="s">
        <v>312</v>
      </c>
      <c r="AR16" s="2"/>
      <c r="AS16" s="2"/>
      <c r="AT16" s="2"/>
      <c r="AU16" s="2"/>
      <c r="AV16" s="2"/>
      <c r="AW16" s="2" t="s">
        <v>313</v>
      </c>
      <c r="AX16">
        <v>174560436</v>
      </c>
      <c r="AY16" s="2" t="s">
        <v>314</v>
      </c>
      <c r="AZ16" s="1">
        <v>44314.664594907408</v>
      </c>
      <c r="BA16">
        <v>15</v>
      </c>
      <c r="BC16">
        <v>-1</v>
      </c>
      <c r="BD16" s="2" t="s">
        <v>77</v>
      </c>
      <c r="BE16" s="2" t="s">
        <v>77</v>
      </c>
    </row>
    <row r="17" spans="1:57">
      <c r="A17" s="2">
        <f>Haupttabelle[[#This Row],[_index]]</f>
        <v>16</v>
      </c>
      <c r="B17" s="1">
        <v>44314.754488182873</v>
      </c>
      <c r="C17" s="1">
        <v>44314.754882002315</v>
      </c>
      <c r="D17" s="2" t="s">
        <v>56</v>
      </c>
      <c r="E17" s="2" t="s">
        <v>57</v>
      </c>
      <c r="F17" s="2" t="s">
        <v>58</v>
      </c>
      <c r="G17" s="2" t="s">
        <v>319</v>
      </c>
      <c r="H17" s="2" t="s">
        <v>82</v>
      </c>
      <c r="I17" s="2" t="s">
        <v>233</v>
      </c>
      <c r="J17" t="b">
        <v>0</v>
      </c>
      <c r="K17" t="b">
        <v>0</v>
      </c>
      <c r="L17" t="b">
        <v>0</v>
      </c>
      <c r="M17" t="b">
        <v>0</v>
      </c>
      <c r="N17" t="b">
        <v>0</v>
      </c>
      <c r="O17" t="b">
        <v>0</v>
      </c>
      <c r="P17" t="b">
        <v>0</v>
      </c>
      <c r="Q17" t="b">
        <v>0</v>
      </c>
      <c r="R17" t="b">
        <v>0</v>
      </c>
      <c r="S17" t="b">
        <v>0</v>
      </c>
      <c r="T17" t="b">
        <v>0</v>
      </c>
      <c r="U17" t="b">
        <v>0</v>
      </c>
      <c r="V17" t="b">
        <v>0</v>
      </c>
      <c r="W17" t="b">
        <v>1</v>
      </c>
      <c r="X17" t="b">
        <v>0</v>
      </c>
      <c r="Y17" t="b">
        <v>0</v>
      </c>
      <c r="AA17" s="2"/>
      <c r="AB17" s="2"/>
      <c r="AE17" s="2"/>
      <c r="AF17" s="2"/>
      <c r="AG17" s="2"/>
      <c r="AI17" s="2"/>
      <c r="AJ17" s="2"/>
      <c r="AK17" s="2" t="s">
        <v>87</v>
      </c>
      <c r="AL17">
        <v>4</v>
      </c>
      <c r="AM17">
        <v>4</v>
      </c>
      <c r="AN17" s="2"/>
      <c r="AQ17" s="2" t="s">
        <v>312</v>
      </c>
      <c r="AR17" s="2"/>
      <c r="AS17" s="2"/>
      <c r="AT17" s="2"/>
      <c r="AU17" s="2"/>
      <c r="AV17" s="2"/>
      <c r="AW17" s="2" t="s">
        <v>320</v>
      </c>
      <c r="AX17">
        <v>174563309</v>
      </c>
      <c r="AY17" s="2" t="s">
        <v>321</v>
      </c>
      <c r="AZ17" s="1">
        <v>44314.671666666669</v>
      </c>
      <c r="BA17">
        <v>16</v>
      </c>
      <c r="BC17">
        <v>-1</v>
      </c>
      <c r="BD17" s="2" t="s">
        <v>77</v>
      </c>
      <c r="BE17" s="2" t="s">
        <v>77</v>
      </c>
    </row>
    <row r="18" spans="1:57">
      <c r="A18" s="2">
        <f>Haupttabelle[[#This Row],[_index]]</f>
        <v>17</v>
      </c>
      <c r="B18" s="1">
        <v>44314.763685289348</v>
      </c>
      <c r="C18" s="1">
        <v>44314.763920740741</v>
      </c>
      <c r="D18" s="2" t="s">
        <v>310</v>
      </c>
      <c r="E18" s="2" t="s">
        <v>234</v>
      </c>
      <c r="F18" s="2" t="s">
        <v>235</v>
      </c>
      <c r="G18" s="2" t="s">
        <v>236</v>
      </c>
      <c r="H18" s="2" t="s">
        <v>237</v>
      </c>
      <c r="I18" s="2" t="s">
        <v>192</v>
      </c>
      <c r="J18" t="b">
        <v>0</v>
      </c>
      <c r="K18" t="b">
        <v>1</v>
      </c>
      <c r="L18" t="b">
        <v>0</v>
      </c>
      <c r="M18" t="b">
        <v>0</v>
      </c>
      <c r="N18" t="b">
        <v>0</v>
      </c>
      <c r="O18" t="b">
        <v>0</v>
      </c>
      <c r="P18" t="b">
        <v>0</v>
      </c>
      <c r="Q18" t="b">
        <v>0</v>
      </c>
      <c r="R18" t="b">
        <v>0</v>
      </c>
      <c r="S18" t="b">
        <v>0</v>
      </c>
      <c r="T18" t="b">
        <v>0</v>
      </c>
      <c r="U18" t="b">
        <v>0</v>
      </c>
      <c r="V18" t="b">
        <v>0</v>
      </c>
      <c r="W18" t="b">
        <v>0</v>
      </c>
      <c r="X18" t="b">
        <v>0</v>
      </c>
      <c r="Y18" t="b">
        <v>0</v>
      </c>
      <c r="AA18" s="2" t="s">
        <v>241</v>
      </c>
      <c r="AB18" s="2" t="s">
        <v>322</v>
      </c>
      <c r="AE18" s="2"/>
      <c r="AF18" s="2"/>
      <c r="AG18" s="2"/>
      <c r="AI18" s="2"/>
      <c r="AJ18" s="2"/>
      <c r="AK18" s="2"/>
      <c r="AN18" s="2"/>
      <c r="AQ18" s="2" t="s">
        <v>69</v>
      </c>
      <c r="AR18" s="2" t="s">
        <v>70</v>
      </c>
      <c r="AS18" s="2" t="s">
        <v>71</v>
      </c>
      <c r="AT18" s="2" t="s">
        <v>72</v>
      </c>
      <c r="AU18" s="2" t="s">
        <v>73</v>
      </c>
      <c r="AV18" s="2" t="s">
        <v>316</v>
      </c>
      <c r="AW18" s="2" t="s">
        <v>323</v>
      </c>
      <c r="AX18">
        <v>174566761</v>
      </c>
      <c r="AY18" s="2" t="s">
        <v>324</v>
      </c>
      <c r="AZ18" s="1">
        <v>44314.680694444447</v>
      </c>
      <c r="BA18">
        <v>17</v>
      </c>
      <c r="BC18">
        <v>-1</v>
      </c>
      <c r="BD18" s="2" t="s">
        <v>77</v>
      </c>
      <c r="BE18" s="2" t="s">
        <v>77</v>
      </c>
    </row>
    <row r="19" spans="1:57">
      <c r="A19" s="2">
        <f>Haupttabelle[[#This Row],[_index]]</f>
        <v>18</v>
      </c>
      <c r="B19" s="1">
        <v>44316.377958171295</v>
      </c>
      <c r="C19" s="1">
        <v>44316.379386099536</v>
      </c>
      <c r="D19" s="2" t="s">
        <v>56</v>
      </c>
      <c r="E19" s="2" t="s">
        <v>57</v>
      </c>
      <c r="F19" s="2" t="s">
        <v>58</v>
      </c>
      <c r="G19" s="2" t="s">
        <v>311</v>
      </c>
      <c r="H19" s="2" t="s">
        <v>237</v>
      </c>
      <c r="I19" s="2" t="s">
        <v>356</v>
      </c>
      <c r="J19" t="b">
        <v>0</v>
      </c>
      <c r="K19" t="b">
        <v>0</v>
      </c>
      <c r="L19" t="b">
        <v>0</v>
      </c>
      <c r="M19" t="b">
        <v>0</v>
      </c>
      <c r="N19" t="b">
        <v>0</v>
      </c>
      <c r="O19" t="b">
        <v>0</v>
      </c>
      <c r="P19" t="b">
        <v>0</v>
      </c>
      <c r="Q19" t="b">
        <v>1</v>
      </c>
      <c r="R19" t="b">
        <v>0</v>
      </c>
      <c r="S19" t="b">
        <v>0</v>
      </c>
      <c r="T19" t="b">
        <v>0</v>
      </c>
      <c r="U19" t="b">
        <v>0</v>
      </c>
      <c r="V19" t="b">
        <v>0</v>
      </c>
      <c r="W19" t="b">
        <v>1</v>
      </c>
      <c r="X19" t="b">
        <v>0</v>
      </c>
      <c r="Y19" t="b">
        <v>0</v>
      </c>
      <c r="AA19" s="2"/>
      <c r="AB19" s="2"/>
      <c r="AE19" s="2"/>
      <c r="AF19" s="2"/>
      <c r="AG19" s="2"/>
      <c r="AI19" s="2"/>
      <c r="AJ19" s="2"/>
      <c r="AK19" s="2" t="s">
        <v>242</v>
      </c>
      <c r="AL19">
        <v>150</v>
      </c>
      <c r="AM19">
        <v>175</v>
      </c>
      <c r="AN19" s="2"/>
      <c r="AQ19" s="2" t="s">
        <v>69</v>
      </c>
      <c r="AR19" s="2" t="s">
        <v>70</v>
      </c>
      <c r="AS19" s="2" t="s">
        <v>71</v>
      </c>
      <c r="AT19" s="2" t="s">
        <v>72</v>
      </c>
      <c r="AU19" s="2" t="s">
        <v>73</v>
      </c>
      <c r="AV19" s="2" t="s">
        <v>335</v>
      </c>
      <c r="AW19" s="2" t="s">
        <v>357</v>
      </c>
      <c r="AX19">
        <v>174958723</v>
      </c>
      <c r="AY19" s="2" t="s">
        <v>358</v>
      </c>
      <c r="AZ19" s="1">
        <v>44316.296168981484</v>
      </c>
      <c r="BA19">
        <v>18</v>
      </c>
      <c r="BC19">
        <v>-1</v>
      </c>
      <c r="BD19" s="2" t="s">
        <v>77</v>
      </c>
      <c r="BE19" s="2" t="s">
        <v>77</v>
      </c>
    </row>
    <row r="20" spans="1:57">
      <c r="A20" s="2">
        <f>Haupttabelle[[#This Row],[_index]]</f>
        <v>19</v>
      </c>
      <c r="B20" s="1">
        <v>44316.37938658565</v>
      </c>
      <c r="C20" s="1">
        <v>44316.381739328703</v>
      </c>
      <c r="D20" s="2" t="s">
        <v>56</v>
      </c>
      <c r="E20" s="2" t="s">
        <v>57</v>
      </c>
      <c r="F20" s="2" t="s">
        <v>58</v>
      </c>
      <c r="G20" s="2" t="s">
        <v>59</v>
      </c>
      <c r="H20" s="2" t="s">
        <v>60</v>
      </c>
      <c r="I20" s="2" t="s">
        <v>360</v>
      </c>
      <c r="J20" t="b">
        <v>0</v>
      </c>
      <c r="K20" t="b">
        <v>0</v>
      </c>
      <c r="L20" t="b">
        <v>0</v>
      </c>
      <c r="M20" t="b">
        <v>1</v>
      </c>
      <c r="N20" t="b">
        <v>1</v>
      </c>
      <c r="O20" t="b">
        <v>0</v>
      </c>
      <c r="P20" t="b">
        <v>0</v>
      </c>
      <c r="Q20" t="b">
        <v>0</v>
      </c>
      <c r="R20" t="b">
        <v>0</v>
      </c>
      <c r="S20" t="b">
        <v>0</v>
      </c>
      <c r="T20" t="b">
        <v>0</v>
      </c>
      <c r="U20" t="b">
        <v>0</v>
      </c>
      <c r="V20" t="b">
        <v>0</v>
      </c>
      <c r="W20" t="b">
        <v>0</v>
      </c>
      <c r="X20" t="b">
        <v>0</v>
      </c>
      <c r="Y20" t="b">
        <v>0</v>
      </c>
      <c r="AA20" s="2"/>
      <c r="AB20" s="2"/>
      <c r="AC20">
        <v>3</v>
      </c>
      <c r="AD20">
        <v>3</v>
      </c>
      <c r="AE20" s="2" t="s">
        <v>361</v>
      </c>
      <c r="AF20" s="2" t="s">
        <v>62</v>
      </c>
      <c r="AG20" s="2" t="s">
        <v>362</v>
      </c>
      <c r="AH20" t="s">
        <v>363</v>
      </c>
      <c r="AI20" s="2"/>
      <c r="AJ20" s="2"/>
      <c r="AK20" s="2"/>
      <c r="AN20" s="2"/>
      <c r="AQ20" s="2" t="s">
        <v>69</v>
      </c>
      <c r="AR20" s="2" t="s">
        <v>70</v>
      </c>
      <c r="AS20" s="2" t="s">
        <v>71</v>
      </c>
      <c r="AT20" s="2" t="s">
        <v>72</v>
      </c>
      <c r="AU20" s="2" t="s">
        <v>73</v>
      </c>
      <c r="AV20" s="2" t="s">
        <v>335</v>
      </c>
      <c r="AW20" s="2" t="s">
        <v>364</v>
      </c>
      <c r="AX20">
        <v>174966000</v>
      </c>
      <c r="AY20" s="2" t="s">
        <v>365</v>
      </c>
      <c r="AZ20" s="1">
        <v>44316.323263888888</v>
      </c>
      <c r="BA20">
        <v>19</v>
      </c>
      <c r="BC20">
        <v>-1</v>
      </c>
      <c r="BD20" s="2" t="s">
        <v>77</v>
      </c>
      <c r="BE20" s="2" t="s">
        <v>77</v>
      </c>
    </row>
    <row r="21" spans="1:57">
      <c r="A21" s="2">
        <f>Haupttabelle[[#This Row],[_index]]</f>
        <v>20</v>
      </c>
      <c r="B21" s="1">
        <v>44316.406262916666</v>
      </c>
      <c r="C21" s="1">
        <v>44316.406564363424</v>
      </c>
      <c r="D21" s="2" t="s">
        <v>56</v>
      </c>
      <c r="E21" s="2" t="s">
        <v>57</v>
      </c>
      <c r="F21" s="2" t="s">
        <v>58</v>
      </c>
      <c r="G21" s="2" t="s">
        <v>311</v>
      </c>
      <c r="H21" s="2" t="s">
        <v>237</v>
      </c>
      <c r="I21" s="2" t="s">
        <v>352</v>
      </c>
      <c r="J21" t="b">
        <v>0</v>
      </c>
      <c r="K21" t="b">
        <v>0</v>
      </c>
      <c r="L21" t="b">
        <v>0</v>
      </c>
      <c r="M21" t="b">
        <v>0</v>
      </c>
      <c r="N21" t="b">
        <v>1</v>
      </c>
      <c r="O21" t="b">
        <v>0</v>
      </c>
      <c r="P21" t="b">
        <v>0</v>
      </c>
      <c r="Q21" t="b">
        <v>0</v>
      </c>
      <c r="R21" t="b">
        <v>0</v>
      </c>
      <c r="S21" t="b">
        <v>0</v>
      </c>
      <c r="T21" t="b">
        <v>0</v>
      </c>
      <c r="U21" t="b">
        <v>0</v>
      </c>
      <c r="V21" t="b">
        <v>0</v>
      </c>
      <c r="W21" t="b">
        <v>0</v>
      </c>
      <c r="X21" t="b">
        <v>0</v>
      </c>
      <c r="Y21" t="b">
        <v>0</v>
      </c>
      <c r="AA21" s="2"/>
      <c r="AB21" s="2"/>
      <c r="AE21" s="2"/>
      <c r="AF21" s="2"/>
      <c r="AG21" s="2" t="s">
        <v>366</v>
      </c>
      <c r="AH21" t="s">
        <v>367</v>
      </c>
      <c r="AI21" s="2"/>
      <c r="AJ21" s="2"/>
      <c r="AK21" s="2"/>
      <c r="AN21" s="2"/>
      <c r="AQ21" s="2" t="s">
        <v>69</v>
      </c>
      <c r="AR21" s="2" t="s">
        <v>70</v>
      </c>
      <c r="AS21" s="2" t="s">
        <v>71</v>
      </c>
      <c r="AT21" s="2" t="s">
        <v>72</v>
      </c>
      <c r="AU21" s="2" t="s">
        <v>73</v>
      </c>
      <c r="AV21" s="2" t="s">
        <v>368</v>
      </c>
      <c r="AW21" s="2" t="s">
        <v>369</v>
      </c>
      <c r="AX21">
        <v>174966005</v>
      </c>
      <c r="AY21" s="2" t="s">
        <v>370</v>
      </c>
      <c r="AZ21" s="1">
        <v>44316.323275462964</v>
      </c>
      <c r="BA21">
        <v>20</v>
      </c>
      <c r="BC21">
        <v>-1</v>
      </c>
      <c r="BD21" s="2" t="s">
        <v>77</v>
      </c>
      <c r="BE21" s="2" t="s">
        <v>77</v>
      </c>
    </row>
    <row r="22" spans="1:57">
      <c r="A22" s="2">
        <f>Haupttabelle[[#This Row],[_index]]</f>
        <v>21</v>
      </c>
      <c r="B22" s="1">
        <v>44316.704541435189</v>
      </c>
      <c r="C22" s="1">
        <v>44316.705244641205</v>
      </c>
      <c r="D22" s="2" t="s">
        <v>56</v>
      </c>
      <c r="E22" s="2" t="s">
        <v>248</v>
      </c>
      <c r="F22" s="2" t="s">
        <v>249</v>
      </c>
      <c r="G22" s="2" t="s">
        <v>250</v>
      </c>
      <c r="H22" s="2" t="s">
        <v>82</v>
      </c>
      <c r="I22" s="2" t="s">
        <v>543</v>
      </c>
      <c r="J22" t="b">
        <v>0</v>
      </c>
      <c r="K22" t="b">
        <v>0</v>
      </c>
      <c r="L22" t="b">
        <v>0</v>
      </c>
      <c r="M22" t="b">
        <v>0</v>
      </c>
      <c r="N22" t="b">
        <v>1</v>
      </c>
      <c r="O22" t="b">
        <v>0</v>
      </c>
      <c r="P22" t="b">
        <v>0</v>
      </c>
      <c r="Q22" t="b">
        <v>0</v>
      </c>
      <c r="R22" t="b">
        <v>0</v>
      </c>
      <c r="S22" t="b">
        <v>0</v>
      </c>
      <c r="T22" t="b">
        <v>0</v>
      </c>
      <c r="U22" t="b">
        <v>0</v>
      </c>
      <c r="V22" t="b">
        <v>0</v>
      </c>
      <c r="W22" t="b">
        <v>1</v>
      </c>
      <c r="X22" t="b">
        <v>0</v>
      </c>
      <c r="Y22" t="b">
        <v>0</v>
      </c>
      <c r="AA22" s="2"/>
      <c r="AB22" s="2"/>
      <c r="AE22" s="2"/>
      <c r="AF22" s="2"/>
      <c r="AG22" s="2" t="s">
        <v>544</v>
      </c>
      <c r="AJ22" s="2"/>
      <c r="AK22" s="2" t="s">
        <v>545</v>
      </c>
      <c r="AL22">
        <v>7</v>
      </c>
      <c r="AM22">
        <v>7</v>
      </c>
      <c r="AN22" s="2"/>
      <c r="AQ22" s="2" t="s">
        <v>69</v>
      </c>
      <c r="AR22" s="2" t="s">
        <v>70</v>
      </c>
      <c r="AS22" s="2" t="s">
        <v>71</v>
      </c>
      <c r="AT22" s="2" t="s">
        <v>72</v>
      </c>
      <c r="AU22" s="2" t="s">
        <v>73</v>
      </c>
      <c r="AV22" s="2" t="s">
        <v>368</v>
      </c>
      <c r="AW22" s="2" t="s">
        <v>546</v>
      </c>
      <c r="AX22">
        <v>175062850</v>
      </c>
      <c r="AY22" s="2" t="s">
        <v>547</v>
      </c>
      <c r="AZ22" s="1">
        <v>44316.622025462966</v>
      </c>
      <c r="BA22">
        <v>21</v>
      </c>
      <c r="BC22">
        <v>-1</v>
      </c>
      <c r="BD22" s="2" t="s">
        <v>77</v>
      </c>
      <c r="BE22" s="2" t="s">
        <v>77</v>
      </c>
    </row>
    <row r="23" spans="1:57">
      <c r="A23" s="2">
        <f>Haupttabelle[[#This Row],[_index]]</f>
        <v>22</v>
      </c>
      <c r="B23" s="1">
        <v>44319.427289629632</v>
      </c>
      <c r="C23" s="1">
        <v>44319.428576539351</v>
      </c>
      <c r="D23" s="2" t="s">
        <v>56</v>
      </c>
      <c r="E23" s="2" t="s">
        <v>57</v>
      </c>
      <c r="F23" s="2" t="s">
        <v>58</v>
      </c>
      <c r="G23" s="2" t="s">
        <v>311</v>
      </c>
      <c r="H23" s="2" t="s">
        <v>237</v>
      </c>
      <c r="I23" s="2" t="s">
        <v>352</v>
      </c>
      <c r="J23" t="b">
        <v>0</v>
      </c>
      <c r="K23" t="b">
        <v>0</v>
      </c>
      <c r="L23" t="b">
        <v>0</v>
      </c>
      <c r="M23" t="b">
        <v>0</v>
      </c>
      <c r="N23" t="b">
        <v>1</v>
      </c>
      <c r="O23" t="b">
        <v>0</v>
      </c>
      <c r="P23" t="b">
        <v>0</v>
      </c>
      <c r="Q23" t="b">
        <v>0</v>
      </c>
      <c r="R23" t="b">
        <v>0</v>
      </c>
      <c r="S23" t="b">
        <v>0</v>
      </c>
      <c r="T23" t="b">
        <v>0</v>
      </c>
      <c r="U23" t="b">
        <v>0</v>
      </c>
      <c r="V23" t="b">
        <v>0</v>
      </c>
      <c r="W23" t="b">
        <v>0</v>
      </c>
      <c r="X23" t="b">
        <v>0</v>
      </c>
      <c r="Y23" t="b">
        <v>0</v>
      </c>
      <c r="AA23" s="2"/>
      <c r="AB23" s="2"/>
      <c r="AE23" s="2"/>
      <c r="AF23" s="2"/>
      <c r="AG23" s="2" t="s">
        <v>548</v>
      </c>
      <c r="AH23" t="s">
        <v>549</v>
      </c>
      <c r="AJ23" s="2"/>
      <c r="AK23" s="2"/>
      <c r="AN23" s="2"/>
      <c r="AQ23" s="2" t="s">
        <v>69</v>
      </c>
      <c r="AR23" s="2" t="s">
        <v>70</v>
      </c>
      <c r="AS23" s="2" t="s">
        <v>71</v>
      </c>
      <c r="AT23" s="2" t="s">
        <v>72</v>
      </c>
      <c r="AU23" s="2" t="s">
        <v>73</v>
      </c>
      <c r="AV23" s="2" t="s">
        <v>368</v>
      </c>
      <c r="AW23" s="2" t="s">
        <v>550</v>
      </c>
      <c r="AX23">
        <v>175492276</v>
      </c>
      <c r="AY23" s="2" t="s">
        <v>551</v>
      </c>
      <c r="AZ23" s="1">
        <v>44319.345370370371</v>
      </c>
      <c r="BA23">
        <v>22</v>
      </c>
      <c r="BC23">
        <v>-1</v>
      </c>
      <c r="BD23" s="2" t="s">
        <v>77</v>
      </c>
      <c r="BE23" s="2" t="s">
        <v>77</v>
      </c>
    </row>
    <row r="24" spans="1:57">
      <c r="A24" s="2">
        <f>Haupttabelle[[#This Row],[_index]]</f>
        <v>23</v>
      </c>
      <c r="B24" s="1">
        <v>44319.463261898149</v>
      </c>
      <c r="C24" s="1">
        <v>44319.464318483799</v>
      </c>
      <c r="D24" s="2" t="s">
        <v>56</v>
      </c>
      <c r="E24" s="2" t="s">
        <v>303</v>
      </c>
      <c r="F24" s="2" t="s">
        <v>552</v>
      </c>
      <c r="G24" s="2" t="s">
        <v>553</v>
      </c>
      <c r="H24" s="2" t="s">
        <v>237</v>
      </c>
      <c r="I24" s="2" t="s">
        <v>352</v>
      </c>
      <c r="J24" t="b">
        <v>0</v>
      </c>
      <c r="K24" t="b">
        <v>0</v>
      </c>
      <c r="L24" t="b">
        <v>0</v>
      </c>
      <c r="M24" t="b">
        <v>0</v>
      </c>
      <c r="N24" t="b">
        <v>1</v>
      </c>
      <c r="O24" t="b">
        <v>0</v>
      </c>
      <c r="P24" t="b">
        <v>0</v>
      </c>
      <c r="Q24" t="b">
        <v>0</v>
      </c>
      <c r="R24" t="b">
        <v>0</v>
      </c>
      <c r="S24" t="b">
        <v>0</v>
      </c>
      <c r="T24" t="b">
        <v>0</v>
      </c>
      <c r="U24" t="b">
        <v>0</v>
      </c>
      <c r="V24" t="b">
        <v>0</v>
      </c>
      <c r="W24" t="b">
        <v>0</v>
      </c>
      <c r="X24" t="b">
        <v>0</v>
      </c>
      <c r="Y24" t="b">
        <v>0</v>
      </c>
      <c r="AA24" s="2"/>
      <c r="AB24" s="2"/>
      <c r="AE24" s="2"/>
      <c r="AF24" s="2"/>
      <c r="AG24" s="2" t="s">
        <v>554</v>
      </c>
      <c r="AH24" t="s">
        <v>555</v>
      </c>
      <c r="AI24" t="s">
        <v>556</v>
      </c>
      <c r="AJ24" s="2"/>
      <c r="AK24" s="2"/>
      <c r="AN24" s="2"/>
      <c r="AQ24" s="2" t="s">
        <v>69</v>
      </c>
      <c r="AR24" s="2" t="s">
        <v>70</v>
      </c>
      <c r="AS24" s="2" t="s">
        <v>71</v>
      </c>
      <c r="AT24" s="2" t="s">
        <v>72</v>
      </c>
      <c r="AU24" s="2" t="s">
        <v>73</v>
      </c>
      <c r="AV24" s="2" t="s">
        <v>557</v>
      </c>
      <c r="AW24" s="2" t="s">
        <v>558</v>
      </c>
      <c r="AX24">
        <v>175507378</v>
      </c>
      <c r="AY24" s="2" t="s">
        <v>559</v>
      </c>
      <c r="AZ24" s="1">
        <v>44319.381111111114</v>
      </c>
      <c r="BA24">
        <v>23</v>
      </c>
      <c r="BC24">
        <v>-1</v>
      </c>
      <c r="BD24" s="2" t="s">
        <v>77</v>
      </c>
      <c r="BE24" s="2" t="s">
        <v>77</v>
      </c>
    </row>
    <row r="25" spans="1:57">
      <c r="A25" s="2"/>
    </row>
  </sheetData>
  <sheetProtection insertColumns="0" insertRows="0" insertHyperlinks="0" sort="0" autoFilter="0" pivotTables="0"/>
  <pageMargins left="0.7" right="0.7" top="0.78740157499999996" bottom="0.78740157499999996"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24317-3D31-44CA-9A08-978B9639B3BE}">
  <dimension ref="A1:N5"/>
  <sheetViews>
    <sheetView workbookViewId="0">
      <selection activeCell="D34" sqref="D34"/>
    </sheetView>
  </sheetViews>
  <sheetFormatPr baseColWidth="10" defaultColWidth="27.85546875" defaultRowHeight="15"/>
  <cols>
    <col min="1" max="1" width="8.5703125" bestFit="1" customWidth="1"/>
    <col min="2" max="2" width="8.7109375" bestFit="1" customWidth="1"/>
    <col min="3" max="3" width="13.28515625" bestFit="1" customWidth="1"/>
    <col min="4" max="4" width="16.85546875" bestFit="1" customWidth="1"/>
    <col min="5" max="5" width="35" bestFit="1" customWidth="1"/>
    <col min="6" max="6" width="61.28515625" bestFit="1" customWidth="1"/>
    <col min="7" max="7" width="6" bestFit="1" customWidth="1"/>
    <col min="8" max="8" width="8.28515625" bestFit="1" customWidth="1"/>
    <col min="9" max="9" width="19.5703125" bestFit="1" customWidth="1"/>
    <col min="10" max="10" width="9.28515625" bestFit="1" customWidth="1"/>
    <col min="11" max="11" width="26.5703125" bestFit="1" customWidth="1"/>
    <col min="12" max="12" width="16.140625" bestFit="1" customWidth="1"/>
    <col min="13" max="13" width="7.85546875" bestFit="1" customWidth="1"/>
    <col min="14" max="14" width="9.28515625" bestFit="1" customWidth="1"/>
  </cols>
  <sheetData>
    <row r="1" spans="1:14">
      <c r="A1" t="s">
        <v>3</v>
      </c>
      <c r="B1" t="s">
        <v>4</v>
      </c>
      <c r="C1" t="s">
        <v>5</v>
      </c>
      <c r="D1" t="s">
        <v>6</v>
      </c>
      <c r="E1" t="s">
        <v>7</v>
      </c>
      <c r="F1" t="s">
        <v>92</v>
      </c>
      <c r="G1" t="s">
        <v>48</v>
      </c>
      <c r="H1" t="s">
        <v>49</v>
      </c>
      <c r="I1" t="s">
        <v>50</v>
      </c>
      <c r="J1" t="s">
        <v>51</v>
      </c>
      <c r="K1" t="s">
        <v>52</v>
      </c>
      <c r="L1" t="s">
        <v>53</v>
      </c>
      <c r="M1" t="s">
        <v>54</v>
      </c>
      <c r="N1" t="s">
        <v>55</v>
      </c>
    </row>
    <row r="2" spans="1:14">
      <c r="A2" s="2" t="str">
        <f>VLOOKUP(group_I_10c_Neue_Angebote[[#This Row],[_parent_index]],Haupttabelle[[#All],[Index]:[Schwerpunkt]],4)</f>
        <v>AZU</v>
      </c>
      <c r="B2" s="2" t="str">
        <f>VLOOKUP(group_I_10c_Neue_Angebote[[#This Row],[_parent_index]],Haupttabelle[[#All],[Index]:[Schwerpunkt]],5)</f>
        <v>Tschad</v>
      </c>
      <c r="C2" s="2" t="str">
        <f>VLOOKUP(group_I_10c_Neue_Angebote[[#This Row],[_parent_index]],Haupttabelle[[#All],[Index]:[Schwerpunkt]],6)</f>
        <v>ProRadja</v>
      </c>
      <c r="D2" s="2" t="str">
        <f>VLOOKUP(group_I_10c_Neue_Angebote[[#This Row],[_parent_index]],Haupttabelle[[#All],[Index]:[Schwerpunkt]],7)</f>
        <v>Oasis</v>
      </c>
      <c r="E2" s="2" t="str">
        <f>VLOOKUP(group_I_10c_Neue_Angebote[[#This Row],[_parent_index]],Haupttabelle[[#All],[Index]:[Schwerpunkt]],8)</f>
        <v>medizinische_Arbeit_und_Prävention</v>
      </c>
      <c r="F2" s="2" t="s">
        <v>93</v>
      </c>
      <c r="J2">
        <v>1</v>
      </c>
      <c r="K2" s="2" t="s">
        <v>94</v>
      </c>
      <c r="L2">
        <v>2</v>
      </c>
    </row>
    <row r="3" spans="1:14">
      <c r="A3" s="2" t="str">
        <f>VLOOKUP(group_I_10c_Neue_Angebote[[#This Row],[_parent_index]],Haupttabelle[[#All],[Index]:[Schwerpunkt]],4)</f>
        <v>AZU</v>
      </c>
      <c r="B3" s="2" t="str">
        <f>VLOOKUP(group_I_10c_Neue_Angebote[[#This Row],[_parent_index]],Haupttabelle[[#All],[Index]:[Schwerpunkt]],5)</f>
        <v>Tschad</v>
      </c>
      <c r="C3" s="2" t="str">
        <f>VLOOKUP(group_I_10c_Neue_Angebote[[#This Row],[_parent_index]],Haupttabelle[[#All],[Index]:[Schwerpunkt]],6)</f>
        <v>ProRadja</v>
      </c>
      <c r="D3" s="2" t="str">
        <f>VLOOKUP(group_I_10c_Neue_Angebote[[#This Row],[_parent_index]],Haupttabelle[[#All],[Index]:[Schwerpunkt]],7)</f>
        <v>Oasis</v>
      </c>
      <c r="E3" s="2" t="str">
        <f>VLOOKUP(group_I_10c_Neue_Angebote[[#This Row],[_parent_index]],Haupttabelle[[#All],[Index]:[Schwerpunkt]],8)</f>
        <v>medizinische_Arbeit_und_Prävention</v>
      </c>
      <c r="F3" s="2" t="s">
        <v>95</v>
      </c>
      <c r="J3">
        <v>2</v>
      </c>
      <c r="K3" s="2" t="s">
        <v>94</v>
      </c>
      <c r="L3">
        <v>2</v>
      </c>
    </row>
    <row r="4" spans="1:14">
      <c r="A4" s="2" t="str">
        <f>VLOOKUP(group_I_10c_Neue_Angebote[[#This Row],[_parent_index]],Haupttabelle[[#All],[Index]:[Schwerpunkt]],4)</f>
        <v>BRI</v>
      </c>
      <c r="B4" s="2" t="str">
        <f>VLOOKUP(group_I_10c_Neue_Angebote[[#This Row],[_parent_index]],Haupttabelle[[#All],[Index]:[Schwerpunkt]],5)</f>
        <v>Brasilien</v>
      </c>
      <c r="C4" s="2" t="str">
        <f>VLOOKUP(group_I_10c_Neue_Angebote[[#This Row],[_parent_index]],Haupttabelle[[#All],[Index]:[Schwerpunkt]],6)</f>
        <v>ProRibeirinho</v>
      </c>
      <c r="D4" s="2" t="str">
        <f>VLOOKUP(group_I_10c_Neue_Angebote[[#This Row],[_parent_index]],Haupttabelle[[#All],[Index]:[Schwerpunkt]],7)</f>
        <v>TP1_Spiritualitaet</v>
      </c>
      <c r="E4" s="2" t="str">
        <f>VLOOKUP(group_I_10c_Neue_Angebote[[#This Row],[_parent_index]],Haupttabelle[[#All],[Index]:[Schwerpunkt]],8)</f>
        <v>theologische_Bildung_und_Praxis</v>
      </c>
      <c r="F4" s="2" t="s">
        <v>96</v>
      </c>
      <c r="J4">
        <v>3</v>
      </c>
      <c r="K4" s="2" t="s">
        <v>94</v>
      </c>
      <c r="L4">
        <v>3</v>
      </c>
    </row>
    <row r="5" spans="1:14">
      <c r="A5" s="2" t="str">
        <f>VLOOKUP(group_I_10c_Neue_Angebote[[#This Row],[_parent_index]],Haupttabelle[[#All],[Index]:[Schwerpunkt]],4)</f>
        <v>BRI</v>
      </c>
      <c r="B5" s="2" t="str">
        <f>VLOOKUP(group_I_10c_Neue_Angebote[[#This Row],[_parent_index]],Haupttabelle[[#All],[Index]:[Schwerpunkt]],5)</f>
        <v>Brasilien</v>
      </c>
      <c r="C5" s="2" t="str">
        <f>VLOOKUP(group_I_10c_Neue_Angebote[[#This Row],[_parent_index]],Haupttabelle[[#All],[Index]:[Schwerpunkt]],6)</f>
        <v>ProRibeirinho</v>
      </c>
      <c r="D5" s="2" t="str">
        <f>VLOOKUP(group_I_10c_Neue_Angebote[[#This Row],[_parent_index]],Haupttabelle[[#All],[Index]:[Schwerpunkt]],7)</f>
        <v>TP1_Spiritualitaet</v>
      </c>
      <c r="E5" s="2" t="str">
        <f>VLOOKUP(group_I_10c_Neue_Angebote[[#This Row],[_parent_index]],Haupttabelle[[#All],[Index]:[Schwerpunkt]],8)</f>
        <v>theologische_Bildung_und_Praxis</v>
      </c>
      <c r="F5" s="2" t="s">
        <v>97</v>
      </c>
      <c r="J5">
        <v>4</v>
      </c>
      <c r="K5" s="2" t="s">
        <v>94</v>
      </c>
      <c r="L5">
        <v>3</v>
      </c>
    </row>
  </sheetData>
  <pageMargins left="0.7" right="0.7" top="0.78740157499999996" bottom="0.78740157499999996"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5E827-0D58-470D-BF08-4FFC73A14B5D}">
  <dimension ref="A1:V6"/>
  <sheetViews>
    <sheetView workbookViewId="0">
      <selection activeCell="F12" sqref="F12"/>
    </sheetView>
  </sheetViews>
  <sheetFormatPr baseColWidth="10" defaultColWidth="27.85546875" defaultRowHeight="15"/>
  <cols>
    <col min="1" max="1" width="8.7109375" bestFit="1" customWidth="1"/>
    <col min="2" max="2" width="8.85546875" bestFit="1" customWidth="1"/>
    <col min="3" max="3" width="13.42578125" bestFit="1" customWidth="1"/>
    <col min="4" max="4" width="21.7109375" bestFit="1" customWidth="1"/>
    <col min="5" max="5" width="35.140625" bestFit="1" customWidth="1"/>
    <col min="6" max="6" width="55" bestFit="1" customWidth="1"/>
    <col min="7" max="7" width="81.140625" bestFit="1" customWidth="1"/>
    <col min="8" max="8" width="75.5703125" bestFit="1" customWidth="1"/>
    <col min="9" max="9" width="81.140625" bestFit="1" customWidth="1"/>
    <col min="10" max="10" width="58.85546875" bestFit="1" customWidth="1"/>
    <col min="11" max="11" width="59.140625" bestFit="1" customWidth="1"/>
    <col min="12" max="14" width="81.140625" bestFit="1" customWidth="1"/>
    <col min="15" max="15" width="6.140625" bestFit="1" customWidth="1"/>
    <col min="16" max="16" width="8.42578125" bestFit="1" customWidth="1"/>
    <col min="17" max="17" width="19.7109375" bestFit="1" customWidth="1"/>
    <col min="18" max="18" width="9.42578125" bestFit="1" customWidth="1"/>
    <col min="19" max="19" width="26.7109375" bestFit="1" customWidth="1"/>
    <col min="20" max="20" width="16.28515625" bestFit="1" customWidth="1"/>
    <col min="21" max="21" width="8" bestFit="1" customWidth="1"/>
    <col min="22" max="22" width="9.42578125" bestFit="1" customWidth="1"/>
  </cols>
  <sheetData>
    <row r="1" spans="1:22">
      <c r="A1" t="s">
        <v>3</v>
      </c>
      <c r="B1" t="s">
        <v>4</v>
      </c>
      <c r="C1" t="s">
        <v>5</v>
      </c>
      <c r="D1" t="s">
        <v>6</v>
      </c>
      <c r="E1" t="s">
        <v>7</v>
      </c>
      <c r="F1" t="s">
        <v>98</v>
      </c>
      <c r="G1" t="s">
        <v>99</v>
      </c>
      <c r="H1" t="s">
        <v>100</v>
      </c>
      <c r="I1" t="s">
        <v>101</v>
      </c>
      <c r="J1" t="s">
        <v>102</v>
      </c>
      <c r="K1" t="s">
        <v>103</v>
      </c>
      <c r="L1" t="s">
        <v>104</v>
      </c>
      <c r="M1" t="s">
        <v>105</v>
      </c>
      <c r="N1" t="s">
        <v>106</v>
      </c>
      <c r="O1" t="s">
        <v>48</v>
      </c>
      <c r="P1" t="s">
        <v>49</v>
      </c>
      <c r="Q1" t="s">
        <v>50</v>
      </c>
      <c r="R1" t="s">
        <v>51</v>
      </c>
      <c r="S1" t="s">
        <v>52</v>
      </c>
      <c r="T1" t="s">
        <v>53</v>
      </c>
      <c r="U1" t="s">
        <v>54</v>
      </c>
      <c r="V1" t="s">
        <v>55</v>
      </c>
    </row>
    <row r="2" spans="1:22">
      <c r="A2" s="2" t="str">
        <f>VLOOKUP(group_I_40_Partnerorg[[#This Row],[_parent_index]],Haupttabelle[[#All],[Index]:[Schwerpunkt]],4)</f>
        <v>AZU</v>
      </c>
      <c r="B2" s="2" t="str">
        <f>VLOOKUP(group_I_40_Partnerorg[[#This Row],[_parent_index]],Haupttabelle[[#All],[Index]:[Schwerpunkt]],5)</f>
        <v>Tschad</v>
      </c>
      <c r="C2" s="2" t="str">
        <f>VLOOKUP(group_I_40_Partnerorg[[#This Row],[_parent_index]],Haupttabelle[[#All],[Index]:[Schwerpunkt]],6)</f>
        <v>ProRadja</v>
      </c>
      <c r="D2" s="2" t="str">
        <f>VLOOKUP(group_I_40_Partnerorg[[#This Row],[_parent_index]],Haupttabelle[[#All],[Index]:[Schwerpunkt]],7)</f>
        <v>Oasis</v>
      </c>
      <c r="E2" s="2" t="str">
        <f>VLOOKUP(group_I_40_Partnerorg[[#This Row],[_parent_index]],Haupttabelle[[#All],[Index]:[Schwerpunkt]],8)</f>
        <v>medizinische_Arbeit_und_Prävention</v>
      </c>
      <c r="F2" s="2" t="s">
        <v>107</v>
      </c>
      <c r="G2" s="2" t="s">
        <v>108</v>
      </c>
      <c r="H2" t="b">
        <v>1</v>
      </c>
      <c r="I2" t="b">
        <v>1</v>
      </c>
      <c r="J2" t="b">
        <v>1</v>
      </c>
      <c r="K2" t="b">
        <v>1</v>
      </c>
      <c r="L2" t="b">
        <v>1</v>
      </c>
      <c r="M2" t="b">
        <v>1</v>
      </c>
      <c r="N2" t="b">
        <v>1</v>
      </c>
      <c r="R2">
        <v>1</v>
      </c>
      <c r="S2" s="2" t="s">
        <v>94</v>
      </c>
      <c r="T2">
        <v>2</v>
      </c>
    </row>
    <row r="3" spans="1:22">
      <c r="A3" s="2" t="str">
        <f>VLOOKUP(group_I_40_Partnerorg[[#This Row],[_parent_index]],Haupttabelle[[#All],[Index]:[Schwerpunkt]],4)</f>
        <v>AZU</v>
      </c>
      <c r="B3" s="2" t="str">
        <f>VLOOKUP(group_I_40_Partnerorg[[#This Row],[_parent_index]],Haupttabelle[[#All],[Index]:[Schwerpunkt]],5)</f>
        <v>Tschad</v>
      </c>
      <c r="C3" s="2" t="str">
        <f>VLOOKUP(group_I_40_Partnerorg[[#This Row],[_parent_index]],Haupttabelle[[#All],[Index]:[Schwerpunkt]],6)</f>
        <v>ProRadja</v>
      </c>
      <c r="D3" s="2" t="str">
        <f>VLOOKUP(group_I_40_Partnerorg[[#This Row],[_parent_index]],Haupttabelle[[#All],[Index]:[Schwerpunkt]],7)</f>
        <v>Oasis</v>
      </c>
      <c r="E3" s="2" t="str">
        <f>VLOOKUP(group_I_40_Partnerorg[[#This Row],[_parent_index]],Haupttabelle[[#All],[Index]:[Schwerpunkt]],8)</f>
        <v>medizinische_Arbeit_und_Prävention</v>
      </c>
      <c r="F3" s="2" t="s">
        <v>109</v>
      </c>
      <c r="G3" s="2" t="s">
        <v>110</v>
      </c>
      <c r="H3" t="b">
        <v>0</v>
      </c>
      <c r="I3" t="b">
        <v>0</v>
      </c>
      <c r="J3" t="b">
        <v>1</v>
      </c>
      <c r="K3" t="b">
        <v>0</v>
      </c>
      <c r="L3" t="b">
        <v>0</v>
      </c>
      <c r="M3" t="b">
        <v>0</v>
      </c>
      <c r="N3" t="b">
        <v>0</v>
      </c>
      <c r="R3">
        <v>2</v>
      </c>
      <c r="S3" s="2" t="s">
        <v>94</v>
      </c>
      <c r="T3">
        <v>2</v>
      </c>
    </row>
    <row r="4" spans="1:22">
      <c r="A4" s="2" t="str">
        <f>VLOOKUP(group_I_40_Partnerorg[[#This Row],[_parent_index]],Haupttabelle[[#All],[Index]:[Schwerpunkt]],4)</f>
        <v>BRI</v>
      </c>
      <c r="B4" s="2" t="str">
        <f>VLOOKUP(group_I_40_Partnerorg[[#This Row],[_parent_index]],Haupttabelle[[#All],[Index]:[Schwerpunkt]],5)</f>
        <v>Brasilien</v>
      </c>
      <c r="C4" s="2" t="str">
        <f>VLOOKUP(group_I_40_Partnerorg[[#This Row],[_parent_index]],Haupttabelle[[#All],[Index]:[Schwerpunkt]],6)</f>
        <v>ProRibeirinho</v>
      </c>
      <c r="D4" s="2" t="str">
        <f>VLOOKUP(group_I_40_Partnerorg[[#This Row],[_parent_index]],Haupttabelle[[#All],[Index]:[Schwerpunkt]],7)</f>
        <v>TP1_Spiritualitaet</v>
      </c>
      <c r="E4" s="2" t="str">
        <f>VLOOKUP(group_I_40_Partnerorg[[#This Row],[_parent_index]],Haupttabelle[[#All],[Index]:[Schwerpunkt]],8)</f>
        <v>theologische_Bildung_und_Praxis</v>
      </c>
      <c r="F4" s="2" t="s">
        <v>111</v>
      </c>
      <c r="G4" s="2" t="s">
        <v>112</v>
      </c>
      <c r="H4" t="b">
        <v>1</v>
      </c>
      <c r="I4" t="b">
        <v>0</v>
      </c>
      <c r="J4" t="b">
        <v>0</v>
      </c>
      <c r="K4" t="b">
        <v>1</v>
      </c>
      <c r="L4" t="b">
        <v>0</v>
      </c>
      <c r="M4" t="b">
        <v>0</v>
      </c>
      <c r="N4" t="b">
        <v>1</v>
      </c>
      <c r="R4">
        <v>3</v>
      </c>
      <c r="S4" s="2" t="s">
        <v>94</v>
      </c>
      <c r="T4">
        <v>3</v>
      </c>
    </row>
    <row r="5" spans="1:22">
      <c r="A5" s="2" t="str">
        <f>VLOOKUP(group_I_40_Partnerorg[[#This Row],[_parent_index]],Haupttabelle[[#All],[Index]:[Schwerpunkt]],4)</f>
        <v>BRI</v>
      </c>
      <c r="B5" s="2" t="str">
        <f>VLOOKUP(group_I_40_Partnerorg[[#This Row],[_parent_index]],Haupttabelle[[#All],[Index]:[Schwerpunkt]],5)</f>
        <v>Brasilien</v>
      </c>
      <c r="C5" s="2" t="str">
        <f>VLOOKUP(group_I_40_Partnerorg[[#This Row],[_parent_index]],Haupttabelle[[#All],[Index]:[Schwerpunkt]],6)</f>
        <v>ProRibeirinho</v>
      </c>
      <c r="D5" s="2" t="str">
        <f>VLOOKUP(group_I_40_Partnerorg[[#This Row],[_parent_index]],Haupttabelle[[#All],[Index]:[Schwerpunkt]],7)</f>
        <v>TP1_Spiritualitaet</v>
      </c>
      <c r="E5" s="2" t="str">
        <f>VLOOKUP(group_I_40_Partnerorg[[#This Row],[_parent_index]],Haupttabelle[[#All],[Index]:[Schwerpunkt]],8)</f>
        <v>theologische_Bildung_und_Praxis</v>
      </c>
      <c r="F5" s="2" t="s">
        <v>113</v>
      </c>
      <c r="G5" s="2" t="s">
        <v>114</v>
      </c>
      <c r="H5" t="b">
        <v>0</v>
      </c>
      <c r="I5" t="b">
        <v>0</v>
      </c>
      <c r="J5" t="b">
        <v>1</v>
      </c>
      <c r="K5" t="b">
        <v>1</v>
      </c>
      <c r="L5" t="b">
        <v>1</v>
      </c>
      <c r="M5" t="b">
        <v>1</v>
      </c>
      <c r="N5" t="b">
        <v>0</v>
      </c>
      <c r="R5">
        <v>4</v>
      </c>
      <c r="S5" s="2" t="s">
        <v>94</v>
      </c>
      <c r="T5">
        <v>3</v>
      </c>
    </row>
    <row r="6" spans="1:22">
      <c r="A6" s="2" t="str">
        <f>VLOOKUP(group_I_40_Partnerorg[[#This Row],[_parent_index]],Haupttabelle[[#All],[Index]:[Schwerpunkt]],4)</f>
        <v>Azu</v>
      </c>
      <c r="B6" s="2" t="str">
        <f>VLOOKUP(group_I_40_Partnerorg[[#This Row],[_parent_index]],Haupttabelle[[#All],[Index]:[Schwerpunkt]],5)</f>
        <v>Tschad</v>
      </c>
      <c r="C6" s="2" t="str">
        <f>VLOOKUP(group_I_40_Partnerorg[[#This Row],[_parent_index]],Haupttabelle[[#All],[Index]:[Schwerpunkt]],6)</f>
        <v>ProRadja</v>
      </c>
      <c r="D6" s="2" t="str">
        <f>VLOOKUP(group_I_40_Partnerorg[[#This Row],[_parent_index]],Haupttabelle[[#All],[Index]:[Schwerpunkt]],7)</f>
        <v>Schulbildung_ProRadja</v>
      </c>
      <c r="E6" s="2" t="str">
        <f>VLOOKUP(group_I_40_Partnerorg[[#This Row],[_parent_index]],Haupttabelle[[#All],[Index]:[Schwerpunkt]],8)</f>
        <v>Grund_und_Berufsbildung</v>
      </c>
      <c r="F6" s="2" t="s">
        <v>308</v>
      </c>
      <c r="G6" s="2" t="s">
        <v>309</v>
      </c>
      <c r="H6" t="b">
        <v>1</v>
      </c>
      <c r="I6" t="b">
        <v>0</v>
      </c>
      <c r="J6" t="b">
        <v>0</v>
      </c>
      <c r="K6" t="b">
        <v>0</v>
      </c>
      <c r="L6" t="b">
        <v>0</v>
      </c>
      <c r="M6" t="b">
        <v>0</v>
      </c>
      <c r="N6" t="b">
        <v>0</v>
      </c>
      <c r="R6">
        <v>5</v>
      </c>
      <c r="S6" s="2" t="s">
        <v>94</v>
      </c>
      <c r="T6">
        <v>15</v>
      </c>
    </row>
  </sheetData>
  <pageMargins left="0.7" right="0.7" top="0.78740157499999996" bottom="0.78740157499999996"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8D3BD-3E2D-4408-A824-3A4D970F90E7}">
  <dimension ref="A1:U6"/>
  <sheetViews>
    <sheetView workbookViewId="0">
      <selection activeCell="F12" sqref="F12"/>
    </sheetView>
  </sheetViews>
  <sheetFormatPr baseColWidth="10" defaultColWidth="27.85546875" defaultRowHeight="15"/>
  <cols>
    <col min="1" max="1" width="8.5703125" bestFit="1" customWidth="1"/>
    <col min="2" max="2" width="8.7109375" bestFit="1" customWidth="1"/>
    <col min="3" max="3" width="13.28515625" bestFit="1" customWidth="1"/>
    <col min="4" max="4" width="21.5703125" bestFit="1" customWidth="1"/>
    <col min="5" max="5" width="35" bestFit="1" customWidth="1"/>
    <col min="6" max="6" width="67" bestFit="1" customWidth="1"/>
    <col min="7" max="7" width="40" bestFit="1" customWidth="1"/>
    <col min="8" max="8" width="11.5703125" bestFit="1" customWidth="1"/>
    <col min="9" max="9" width="10.7109375" bestFit="1" customWidth="1"/>
    <col min="10" max="10" width="38.5703125" bestFit="1" customWidth="1"/>
    <col min="11" max="11" width="37.85546875" bestFit="1" customWidth="1"/>
    <col min="12" max="12" width="43.85546875" bestFit="1" customWidth="1"/>
    <col min="13" max="13" width="62.28515625" bestFit="1" customWidth="1"/>
    <col min="14" max="14" width="6" bestFit="1" customWidth="1"/>
    <col min="15" max="15" width="8.28515625" bestFit="1" customWidth="1"/>
    <col min="16" max="16" width="19.5703125" bestFit="1" customWidth="1"/>
    <col min="17" max="17" width="9.28515625" bestFit="1" customWidth="1"/>
    <col min="18" max="18" width="26.5703125" bestFit="1" customWidth="1"/>
    <col min="19" max="19" width="16.140625" bestFit="1" customWidth="1"/>
    <col min="20" max="20" width="7.85546875" bestFit="1" customWidth="1"/>
    <col min="21" max="21" width="9.28515625" bestFit="1" customWidth="1"/>
  </cols>
  <sheetData>
    <row r="1" spans="1:21">
      <c r="A1" t="s">
        <v>3</v>
      </c>
      <c r="B1" t="s">
        <v>4</v>
      </c>
      <c r="C1" t="s">
        <v>5</v>
      </c>
      <c r="D1" t="s">
        <v>6</v>
      </c>
      <c r="E1" t="s">
        <v>7</v>
      </c>
      <c r="F1" t="s">
        <v>115</v>
      </c>
      <c r="G1" t="s">
        <v>116</v>
      </c>
      <c r="H1" t="s">
        <v>332</v>
      </c>
      <c r="I1" t="s">
        <v>333</v>
      </c>
      <c r="J1" t="s">
        <v>117</v>
      </c>
      <c r="K1" t="s">
        <v>118</v>
      </c>
      <c r="L1" t="s">
        <v>119</v>
      </c>
      <c r="M1" t="s">
        <v>120</v>
      </c>
      <c r="N1" t="s">
        <v>48</v>
      </c>
      <c r="O1" t="s">
        <v>49</v>
      </c>
      <c r="P1" t="s">
        <v>50</v>
      </c>
      <c r="Q1" t="s">
        <v>51</v>
      </c>
      <c r="R1" t="s">
        <v>52</v>
      </c>
      <c r="S1" t="s">
        <v>53</v>
      </c>
      <c r="T1" t="s">
        <v>54</v>
      </c>
      <c r="U1" t="s">
        <v>55</v>
      </c>
    </row>
    <row r="2" spans="1:21">
      <c r="A2" s="2" t="str">
        <f>VLOOKUP(group_I_41_Einsatzleistende[[#This Row],[_parent_index]],Haupttabelle[[#All],[Index]:[Schwerpunkt]],4)</f>
        <v>AZU</v>
      </c>
      <c r="B2" s="2" t="str">
        <f>VLOOKUP(group_I_41_Einsatzleistende[[#This Row],[_parent_index]],Haupttabelle[[#All],[Index]:[Schwerpunkt]],5)</f>
        <v>Tschad</v>
      </c>
      <c r="C2" s="2" t="str">
        <f>VLOOKUP(group_I_41_Einsatzleistende[[#This Row],[_parent_index]],Haupttabelle[[#All],[Index]:[Schwerpunkt]],6)</f>
        <v>ProRadja</v>
      </c>
      <c r="D2" s="2" t="str">
        <f>VLOOKUP(group_I_41_Einsatzleistende[[#This Row],[_parent_index]],Haupttabelle[[#All],[Index]:[Schwerpunkt]],7)</f>
        <v>Oasis</v>
      </c>
      <c r="E2" s="2" t="str">
        <f>VLOOKUP(group_I_41_Einsatzleistende[[#This Row],[_parent_index]],Haupttabelle[[#All],[Index]:[Schwerpunkt]],8)</f>
        <v>medizinische_Arbeit_und_Prävention</v>
      </c>
      <c r="F2" s="2" t="s">
        <v>121</v>
      </c>
      <c r="G2" s="2" t="s">
        <v>122</v>
      </c>
      <c r="H2" s="2">
        <f>IF(group_I_41_Einsatzleistende[[#This Row],[group_I_41_Einsatzleistende/Geschlecht]]="m",1,"")</f>
        <v>1</v>
      </c>
      <c r="I2" s="2" t="str">
        <f>IF(group_I_41_Einsatzleistende[[#This Row],[group_I_41_Einsatzleistende/Geschlecht]]="f",1,"")</f>
        <v/>
      </c>
      <c r="J2" s="2" t="s">
        <v>123</v>
      </c>
      <c r="K2" s="2" t="s">
        <v>124</v>
      </c>
      <c r="L2">
        <v>44290</v>
      </c>
      <c r="M2">
        <v>44313</v>
      </c>
      <c r="Q2">
        <v>1</v>
      </c>
      <c r="R2" s="2" t="s">
        <v>94</v>
      </c>
      <c r="S2">
        <v>2</v>
      </c>
    </row>
    <row r="3" spans="1:21">
      <c r="A3" s="2" t="str">
        <f>VLOOKUP(group_I_41_Einsatzleistende[[#This Row],[_parent_index]],Haupttabelle[[#All],[Index]:[Schwerpunkt]],4)</f>
        <v>AZU</v>
      </c>
      <c r="B3" s="2" t="str">
        <f>VLOOKUP(group_I_41_Einsatzleistende[[#This Row],[_parent_index]],Haupttabelle[[#All],[Index]:[Schwerpunkt]],5)</f>
        <v>Tschad</v>
      </c>
      <c r="C3" s="2" t="str">
        <f>VLOOKUP(group_I_41_Einsatzleistende[[#This Row],[_parent_index]],Haupttabelle[[#All],[Index]:[Schwerpunkt]],6)</f>
        <v>ProRadja</v>
      </c>
      <c r="D3" s="2" t="str">
        <f>VLOOKUP(group_I_41_Einsatzleistende[[#This Row],[_parent_index]],Haupttabelle[[#All],[Index]:[Schwerpunkt]],7)</f>
        <v>Oasis</v>
      </c>
      <c r="E3" s="2" t="str">
        <f>VLOOKUP(group_I_41_Einsatzleistende[[#This Row],[_parent_index]],Haupttabelle[[#All],[Index]:[Schwerpunkt]],8)</f>
        <v>medizinische_Arbeit_und_Prävention</v>
      </c>
      <c r="F3" s="2" t="s">
        <v>125</v>
      </c>
      <c r="G3" s="2" t="s">
        <v>126</v>
      </c>
      <c r="H3" s="2" t="str">
        <f>IF(group_I_41_Einsatzleistende[[#This Row],[group_I_41_Einsatzleistende/Geschlecht]]="m",1,"")</f>
        <v/>
      </c>
      <c r="I3" s="2">
        <f>IF(group_I_41_Einsatzleistende[[#This Row],[group_I_41_Einsatzleistende/Geschlecht]]="f",1,"")</f>
        <v>1</v>
      </c>
      <c r="J3" s="2" t="s">
        <v>127</v>
      </c>
      <c r="K3" s="2" t="s">
        <v>128</v>
      </c>
      <c r="L3">
        <v>44313</v>
      </c>
      <c r="M3">
        <v>44314</v>
      </c>
      <c r="Q3">
        <v>2</v>
      </c>
      <c r="R3" s="2" t="s">
        <v>94</v>
      </c>
      <c r="S3">
        <v>2</v>
      </c>
    </row>
    <row r="4" spans="1:21">
      <c r="A4" s="2" t="str">
        <f>VLOOKUP(group_I_41_Einsatzleistende[[#This Row],[_parent_index]],Haupttabelle[[#All],[Index]:[Schwerpunkt]],4)</f>
        <v>BRI</v>
      </c>
      <c r="B4" s="2" t="str">
        <f>VLOOKUP(group_I_41_Einsatzleistende[[#This Row],[_parent_index]],Haupttabelle[[#All],[Index]:[Schwerpunkt]],5)</f>
        <v>Brasilien</v>
      </c>
      <c r="C4" s="2" t="str">
        <f>VLOOKUP(group_I_41_Einsatzleistende[[#This Row],[_parent_index]],Haupttabelle[[#All],[Index]:[Schwerpunkt]],6)</f>
        <v>ProRibeirinho</v>
      </c>
      <c r="D4" s="2" t="str">
        <f>VLOOKUP(group_I_41_Einsatzleistende[[#This Row],[_parent_index]],Haupttabelle[[#All],[Index]:[Schwerpunkt]],7)</f>
        <v>TP1_Spiritualitaet</v>
      </c>
      <c r="E4" s="2" t="str">
        <f>VLOOKUP(group_I_41_Einsatzleistende[[#This Row],[_parent_index]],Haupttabelle[[#All],[Index]:[Schwerpunkt]],8)</f>
        <v>theologische_Bildung_und_Praxis</v>
      </c>
      <c r="F4" s="2" t="s">
        <v>129</v>
      </c>
      <c r="G4" s="2" t="s">
        <v>122</v>
      </c>
      <c r="H4" s="2">
        <f>IF(group_I_41_Einsatzleistende[[#This Row],[group_I_41_Einsatzleistende/Geschlecht]]="m",1,"")</f>
        <v>1</v>
      </c>
      <c r="I4" s="2" t="str">
        <f>IF(group_I_41_Einsatzleistende[[#This Row],[group_I_41_Einsatzleistende/Geschlecht]]="f",1,"")</f>
        <v/>
      </c>
      <c r="J4" s="2" t="s">
        <v>130</v>
      </c>
      <c r="K4" s="2" t="s">
        <v>131</v>
      </c>
      <c r="L4">
        <v>44290</v>
      </c>
      <c r="M4">
        <v>44297</v>
      </c>
      <c r="Q4">
        <v>3</v>
      </c>
      <c r="R4" s="2" t="s">
        <v>94</v>
      </c>
      <c r="S4">
        <v>3</v>
      </c>
    </row>
    <row r="5" spans="1:21">
      <c r="A5" s="2" t="str">
        <f>VLOOKUP(group_I_41_Einsatzleistende[[#This Row],[_parent_index]],Haupttabelle[[#All],[Index]:[Schwerpunkt]],4)</f>
        <v>BRI</v>
      </c>
      <c r="B5" s="2" t="str">
        <f>VLOOKUP(group_I_41_Einsatzleistende[[#This Row],[_parent_index]],Haupttabelle[[#All],[Index]:[Schwerpunkt]],5)</f>
        <v>Brasilien</v>
      </c>
      <c r="C5" s="2" t="str">
        <f>VLOOKUP(group_I_41_Einsatzleistende[[#This Row],[_parent_index]],Haupttabelle[[#All],[Index]:[Schwerpunkt]],6)</f>
        <v>ProRibeirinho</v>
      </c>
      <c r="D5" s="2" t="str">
        <f>VLOOKUP(group_I_41_Einsatzleistende[[#This Row],[_parent_index]],Haupttabelle[[#All],[Index]:[Schwerpunkt]],7)</f>
        <v>TP1_Spiritualitaet</v>
      </c>
      <c r="E5" s="2" t="str">
        <f>VLOOKUP(group_I_41_Einsatzleistende[[#This Row],[_parent_index]],Haupttabelle[[#All],[Index]:[Schwerpunkt]],8)</f>
        <v>theologische_Bildung_und_Praxis</v>
      </c>
      <c r="F5" s="2" t="s">
        <v>132</v>
      </c>
      <c r="G5" s="2" t="s">
        <v>126</v>
      </c>
      <c r="H5" s="2" t="str">
        <f>IF(group_I_41_Einsatzleistende[[#This Row],[group_I_41_Einsatzleistende/Geschlecht]]="m",1,"")</f>
        <v/>
      </c>
      <c r="I5" s="2">
        <f>IF(group_I_41_Einsatzleistende[[#This Row],[group_I_41_Einsatzleistende/Geschlecht]]="f",1,"")</f>
        <v>1</v>
      </c>
      <c r="J5" s="2" t="s">
        <v>133</v>
      </c>
      <c r="K5" s="2" t="s">
        <v>134</v>
      </c>
      <c r="L5">
        <v>44311</v>
      </c>
      <c r="M5">
        <v>44314</v>
      </c>
      <c r="Q5">
        <v>4</v>
      </c>
      <c r="R5" s="2" t="s">
        <v>94</v>
      </c>
      <c r="S5">
        <v>3</v>
      </c>
    </row>
    <row r="6" spans="1:21">
      <c r="A6" s="2" t="str">
        <f>VLOOKUP(group_I_41_Einsatzleistende[[#This Row],[_parent_index]],Haupttabelle[[#All],[Index]:[Schwerpunkt]],4)</f>
        <v>AZU</v>
      </c>
      <c r="B6" s="2" t="str">
        <f>VLOOKUP(group_I_41_Einsatzleistende[[#This Row],[_parent_index]],Haupttabelle[[#All],[Index]:[Schwerpunkt]],5)</f>
        <v>Tschad</v>
      </c>
      <c r="C6" s="2" t="str">
        <f>VLOOKUP(group_I_41_Einsatzleistende[[#This Row],[_parent_index]],Haupttabelle[[#All],[Index]:[Schwerpunkt]],6)</f>
        <v>ProRadja</v>
      </c>
      <c r="D6" s="2" t="str">
        <f>VLOOKUP(group_I_41_Einsatzleistende[[#This Row],[_parent_index]],Haupttabelle[[#All],[Index]:[Schwerpunkt]],7)</f>
        <v>Schulbildung_ProRadja</v>
      </c>
      <c r="E6" s="2" t="str">
        <f>VLOOKUP(group_I_41_Einsatzleistende[[#This Row],[_parent_index]],Haupttabelle[[#All],[Index]:[Schwerpunkt]],8)</f>
        <v>Grund_und_Berufsbildung</v>
      </c>
      <c r="F6" s="2" t="s">
        <v>359</v>
      </c>
      <c r="G6" s="2" t="s">
        <v>122</v>
      </c>
      <c r="H6" s="2">
        <f>IF(group_I_41_Einsatzleistende[[#This Row],[group_I_41_Einsatzleistende/Geschlecht]]="m",1,"")</f>
        <v>1</v>
      </c>
      <c r="I6" s="2" t="str">
        <f>IF(group_I_41_Einsatzleistende[[#This Row],[group_I_41_Einsatzleistende/Geschlecht]]="f",1,"")</f>
        <v/>
      </c>
      <c r="J6" s="2" t="s">
        <v>133</v>
      </c>
      <c r="K6" s="2" t="s">
        <v>124</v>
      </c>
      <c r="L6">
        <v>44313</v>
      </c>
      <c r="M6">
        <v>44315</v>
      </c>
      <c r="Q6">
        <v>5</v>
      </c>
      <c r="R6" s="2" t="s">
        <v>94</v>
      </c>
      <c r="S6">
        <v>18</v>
      </c>
    </row>
  </sheetData>
  <pageMargins left="0.7" right="0.7" top="0.78740157499999996" bottom="0.78740157499999996"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3 c 0 f 6 b 4 7 - 7 0 9 8 - 4 a d f - b 2 9 1 - d 5 b 6 4 e d e 5 0 f b "   x m l n s = " h t t p : / / s c h e m a s . m i c r o s o f t . c o m / D a t a M a s h u p " > A A A A A D g J A A B Q S w M E F A A C A A g A 8 1 2 j U o r H 4 V C n A A A A + Q A A A B I A H A B D b 2 5 m a W c v U G F j a 2 F n Z S 5 4 b W w g o h g A K K A U A A A A A A A A A A A A A A A A A A A A A A A A A A A A h Y + 9 D o I w G E V f h X S n f 0 S j 5 K M M L A 6 S m J g Y 1 w Y q N E I x t F j e z c F H 8 h U k U d T N 8 Z 6 c 4 d z H 7 Q 7 p 2 D b B V f V W d y Z B D F M U K F N 0 p T Z V g g Z 3 C l c o F b C T x V l W K p h k Y + P R l g m q n b v E h H j v s Y 9 w 1 1 e E U 8 r I M d / u i 1 q 1 E n 1 k / V 8 O t b F O m k I h A Y d X j O B 4 y f C C r T l m E W V A Z g 6 5 N l + H T 8 m Y A v m B k A 2 N G 3 o l S h V m G y D z B P K + I Z 5 Q S w M E F A A C A A g A 8 1 2 j U 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P N d o 1 K D M p p B L w Y A A F 0 s A A A T A B w A R m 9 y b X V s Y X M v U 2 V j d G l v b j E u b S C i G A A o o B Q A A A A A A A A A A A A A A A A A A A A A A A A A A A D t W u t u 2 z Y U / h 8 g 7 2 B 4 f x I g i C + x k 2 F D f q R p L l 4 v 6 5 q s G V o U B C 0 f S 5 w p 0 i C p J E 3 Q t 9 k z 7 A X 6 Y j u U b 5 I l y n I R z w a a A k V g 8 p y P H 6 n z H R 5 S 0 u A Z J k X l a v S 3 8 e v 2 1 v a W D q i C X u W S R k N j a B c 4 h 8 p x h Y P Z 3 q r g v z + i c c v Z v Q d 8 / 0 a q Q V f K w c 4 N d P d P p T A g j N 6 p B s Y M 9 S + 1 2 s D b D 6 K Q C m a o Y l Q o 0 E M p N O w z 0 Z c 1 O m S 1 2 0 a t R w 2 t H f 3 c P m q 3 9 + + 5 r u 7 u V U T E + V 7 F q A h 2 9 0 b D 0 r d / 3 d + d X r 5 + O L g I 1 E 3 4 / s 8 W a w f n 5 C o A M E h m x O r x U 8 d A e F z N N 6 7 u v W K i d 1 y N f a q f v 3 5 6 i Q N / H u P / V L 3 8 9 m 8 A q u K D N l H f Q O U S a A 9 U F c G v a Z f D / j s l Q 2 l g 1 K x 3 i g j t V T 6 N r U 8 4 v / I o p 0 o f 2 9 l 8 3 p 0 O d w H f / h G I Z H D M 6 y / D 2 T j X i g r d l y o 8 l T w K B f a B 3 n H S 2 3 t 8 r G p c X F P F 9 U L T C q 4 m G B b C g x T w d a / y W A X R c / a 9 p S F M O g 3 c m 7 j x N Z 1 5 T B t x P n / D w G T a r 4 H x o a P v y g v u Q A 0 j k d N 3 Q y H g Q D q i x w b U S L X Q o N Y h j T q d m H H p M 1 x X t 2 W 3 t K V X 0 r J Z L 2 v Y K G l 4 U B a x V d q w 7 N D t s o j t 0 o j N s o Y H Z Q 1 b J Q 0 P y 0 7 m s O x k j n I R 4 w g k H y N B g x D I G f N B 9 J m g 4 o G B i g R 6 d I Q 5 b O 1 b x c b 2 v p L R k M T R S N 5 h z k D V Y Z I i J 9 2 A g v B H Y Y q / R n B D N J h 0 M X + Q l e U C t A + A e c P c S W U i 4 Z M I u q C E D E M Q T q B m n Y y d k u a 1 E / F A A 0 5 + Q x g Q 5 A 2 C C 1 C k E 4 e / Y 4 L F S A j R 8 w L E O l c 0 w j / f A 2 X b w K Z L O 7 k u M P I C f M T S h v l m + S m e q Y f R M 7 8 A 7 Q X M C 4 x 7 u Z s N w t F V 6 F t y h j j M G 3 D k U J t 5 z r p V n w a W 4 L J Y 5 9 J I E k g v 4 J j S p 5 O h 4 s s 4 6 g 5 G s 5 j O / + q L x m 3 O O c p h P b U 6 t e S P 0 k 6 O K D g s e H Q O i M z j L 8 R o E B + Y N h y X d o Y W S 5 e c K E N w B R K D F K 2 1 A 8 k 1 r 8 b S n J z T y 4 E i 5 B Y V i y U W I R n C 0 y 5 3 D 6 n X G 4 W 9 z c L e g 8 L e V q Y 3 B C z I G E 6 S C g 8 6 L 7 P e r J c z x S h i 2 b K B 6 K g b M h 2 P Z S u P + U p k j I e R f Z 8 D O c R K V B h i b F 1 E R K J W m W h j Y u E C M N T X W U 4 C C 7 N 0 8 9 f d 7 S 0 m X K V Z s i y e Z W G P v I U I 8 y 8 G U h c B N 6 B G d n J z l M l O + 6 e t l B f Q + p + L Z S e b W p p b J H r k t Z V 9 n C k c G k g H Y 1 I B 0 0 a H A K b 9 S 8 f + j M I S w T 8 d L h X 7 t n X 5 0 G / V y T s 8 c G D e l M r f o L B P 8 V o Q 8 i n b 1 Y R 7 D p 0 1 h X q K S X y c i G s V r S H R j g 9 C U 3 s L 4 N x R 0 z C T 3 X g l C L U B U 1 g O 2 Q 0 X K y I Z Y p V t m / F J 5 t X l y 8 N 7 g Z p s 6 M I W c a s Z 5 Q 5 4 P M b T o O F 2 T J 8 Q T v b 7 D A 8 u n B O K X Q M q M J P Y n K f A x 6 V R e K Q x T z O Q D d n 4 p P I x 0 t S W 3 1 R h A W 9 I i P + x r D W K + k 8 z k E 0 c + U P J Q E D R W D 9 y M m / g Q V b g C j 5 w u 9 n Z M 8 Y m p f Q s u 0 W J P e u x o v T u o r a u J J / l U 7 P X e 7 G o P 0 h l o y 7 L O H v v V o Q X H 3 o 5 Y M J c y m 3 c k L i k L O V 2 b i 8 O C 7 e T H K d O O G k j G q X v P t U V E M X j 3 p B T F G O X a X I r 8 V y H k s d J j 5 P v v D R / 3 O T R r h P c K q K B m d x P b F D q y H B b k D g y 9 q t J G w 5 a a 0 o a G T b x 1 T B 5 Y X W u g H W B 2 N p 1 e v n 0 f A p K x H 6 D 3 L w g J z 2 s G j c p 6 m e s F s X 7 z H J F k T 5 P Z V 0 x P u M R v 8 + g y f C e M r Q 3 6 s 6 N J g k x v v a 7 p n 7 s f S q p F z D h k 0 6 7 4 A p x n k O X j G G 6 4 E 8 u I b / T e 3 T t + L w t J a X Z t O t 1 j g / G v l T Z J H W m i C 0 S a M p 4 R R r N I b Q u m a a o x C 8 U 5 5 U 6 6 S w o C e d Q 3 G J t F s g t y 2 R J v S 4 A e J Z s V r I H p C P 6 i o 6 q k U h t k m j n q C 2 S 7 Z z 5 i o S b S 2 p d 0 p 0 j U 0 v I t s f s m / V b 9 G a F Z 7 k M R s I J o 5 G c X p 4 / C y Y p m B a 5 Z L y v Q 2 Y M 8 E 2 S S 4 r Y I r G k j F c k l R x C 6 x J K i k r 8 i c v 0 r f Y b M I H s g Z h a P B + 2 Z t F + V L f 7 J 3 m F 4 U s H G / W u d Y 7 Z g n i f s 1 5 N w O d S W l P E z 3 G J P 6 2 a / B p / x 2 I / i H F / l 5 I L M N H M 7 2 V e O u U i 3 F A h S E B H M B M + 2 l B j f O h H o p d X n h U C X i h 7 z y r J e 9 A R N z G w j k 1 + W B n / B 1 B L A Q I t A B Q A A g A I A P N d o 1 K K x + F Q p w A A A P k A A A A S A A A A A A A A A A A A A A A A A A A A A A B D b 2 5 m a W c v U G F j a 2 F n Z S 5 4 b W x Q S w E C L Q A U A A I A C A D z X a N S D 8 r p q 6 Q A A A D p A A A A E w A A A A A A A A A A A A A A A A D z A A A A W 0 N v b n R l b n R f V H l w Z X N d L n h t b F B L A Q I t A B Q A A g A I A P N d o 1 K D M p p B L w Y A A F 0 s A A A T A A A A A A A A A A A A A A A A A O Q B A A B G b 3 J t d W x h c y 9 T Z W N 0 a W 9 u M S 5 t U E s F B g A A A A A D A A M A w g A A A G A I 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k f S A A A A A A A A J d I 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2 d y b 3 V w X 0 l f M T B j X 0 5 l d W V f Q W 5 n Z W J v d G U 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n c m 9 1 c F 9 J X z E w Y 1 9 O Z X V l X 0 F u Z 2 V i b 3 R l I i A v P j x F b n R y e S B U e X B l P S J G a W x s Z W R D b 2 1 w b G V 0 Z V J l c 3 V s d F R v V 2 9 y a 3 N o Z W V 0 I i B W Y W x 1 Z T 0 i b D E i I C 8 + P E V u d H J 5 I F R 5 c G U 9 I k Z p b G x T d G F 0 d X M i I F Z h b H V l P S J z Q 2 9 t c G x l d G U i I C 8 + P E V u d H J 5 I F R 5 c G U 9 I k Z p b G x D b 2 x 1 b W 5 O Y W 1 l c y I g V m F s d W U 9 I n N b J n F 1 b 3 Q 7 Z 3 J v d X B f S V 8 x M G N f T m V 1 Z V 9 B b m d l Y m 9 0 Z S 9 O Z X V l X 0 F u Z 2 V i b 3 R l X 3 V u Z F 9 M Z W l z d H V u Z 2 V u J n F 1 b 3 Q 7 L C Z x d W 9 0 O 1 9 p Z C Z x d W 9 0 O y w m c X V v d D t f d X V p Z C Z x d W 9 0 O y w m c X V v d D t f c 3 V i b W l z c 2 l v b l 9 0 a W 1 l J n F 1 b 3 Q 7 L C Z x d W 9 0 O 1 9 p b m R l e C Z x d W 9 0 O y w m c X V v d D t f c G F y Z W 5 0 X 3 R h Y m x l X 2 5 h b W U m c X V v d D s s J n F 1 b 3 Q 7 X 3 B h c m V u d F 9 p b m R l e C Z x d W 9 0 O y w m c X V v d D t f d G F n c y Z x d W 9 0 O y w m c X V v d D t f b m 9 0 Z X M m c X V v d D t d I i A v P j x F b n R y e S B U e X B l P S J G a W x s Q 2 9 s d W 1 u V H l w Z X M i I F Z h b H V l P S J z Q m d B Q U F B T U d B d 0 F B I i A v P j x F b n R y e S B U e X B l P S J G a W x s T G F z d F V w Z G F 0 Z W Q i I F Z h b H V l P S J k M j A y M S 0 w N S 0 w M 1 Q w O T o 0 N z o z O S 4 2 M z g w O T Q z W i I g L z 4 8 R W 5 0 c n k g V H l w Z T 0 i R m l s b E V y c m 9 y Q 2 9 1 b n Q i I F Z h b H V l P S J s M C I g L z 4 8 R W 5 0 c n k g V H l w Z T 0 i R m l s b E V y c m 9 y Q 2 9 k Z S I g V m F s d W U 9 I n N V b m t u b 3 d u I i A v P j x F b n R y e S B U e X B l P S J R d W V y e U l E I i B W Y W x 1 Z T 0 i c z Q 5 M T F k Y 2 E y L W E 2 Y j A t N G M 5 M C 0 4 M 2 U x L T d m Y j k z M G M 2 O D c 1 Y S I g L z 4 8 R W 5 0 c n k g V H l w Z T 0 i R m l s b E N v d W 5 0 I i B W Y W x 1 Z T 0 i b D Q i I C 8 + P E V u d H J 5 I F R 5 c G U 9 I l J l b G F 0 a W 9 u c 2 h p c E l u Z m 9 D b 2 5 0 Y W l u Z X I i I F Z h b H V l P S J z e y Z x d W 9 0 O 2 N v b H V t b k N v d W 5 0 J n F 1 b 3 Q 7 O j k s J n F 1 b 3 Q 7 a 2 V 5 Q 2 9 s d W 1 u T m F t Z X M m c X V v d D s 6 W 1 0 s J n F 1 b 3 Q 7 c X V l c n l S Z W x h d G l v b n N o a X B z J n F 1 b 3 Q 7 O l t d L C Z x d W 9 0 O 2 N v b H V t b k l k Z W 5 0 a X R p Z X M m c X V v d D s 6 W y Z x d W 9 0 O 1 N l Y 3 R p b 2 4 x L 2 d y b 3 V w X 0 l f M T B j X 0 5 l d W V f Q W 5 n Z W J v d G U v R 2 X D p G 5 k Z X J 0 Z X I g V H l w L n t n c m 9 1 c F 9 J X z E w Y 1 9 O Z X V l X 0 F u Z 2 V i b 3 R l L 0 5 l d W V f Q W 5 n Z W J v d G V f d W 5 k X 0 x l a X N 0 d W 5 n Z W 4 s M H 0 m c X V v d D s s J n F 1 b 3 Q 7 U 2 V j d G l v b j E v Z 3 J v d X B f S V 8 x M G N f T m V 1 Z V 9 B b m d l Y m 9 0 Z S 9 H Z c O k b m R l c n R l c i B U e X A u e 1 9 p Z C w x f S Z x d W 9 0 O y w m c X V v d D t T Z W N 0 a W 9 u M S 9 n c m 9 1 c F 9 J X z E w Y 1 9 O Z X V l X 0 F u Z 2 V i b 3 R l L 0 d l w 6 R u Z G V y d G V y I F R 5 c C 5 7 X 3 V 1 a W Q s M n 0 m c X V v d D s s J n F 1 b 3 Q 7 U 2 V j d G l v b j E v Z 3 J v d X B f S V 8 x M G N f T m V 1 Z V 9 B b m d l Y m 9 0 Z S 9 H Z c O k b m R l c n R l c i B U e X A u e 1 9 z d W J t a X N z a W 9 u X 3 R p b W U s M 3 0 m c X V v d D s s J n F 1 b 3 Q 7 U 2 V j d G l v b j E v Z 3 J v d X B f S V 8 x M G N f T m V 1 Z V 9 B b m d l Y m 9 0 Z S 9 H Z c O k b m R l c n R l c i B U e X A u e 1 9 p b m R l e C w 0 f S Z x d W 9 0 O y w m c X V v d D t T Z W N 0 a W 9 u M S 9 n c m 9 1 c F 9 J X z E w Y 1 9 O Z X V l X 0 F u Z 2 V i b 3 R l L 0 d l w 6 R u Z G V y d G V y I F R 5 c C 5 7 X 3 B h c m V u d F 9 0 Y W J s Z V 9 u Y W 1 l L D V 9 J n F 1 b 3 Q 7 L C Z x d W 9 0 O 1 N l Y 3 R p b 2 4 x L 2 d y b 3 V w X 0 l f M T B j X 0 5 l d W V f Q W 5 n Z W J v d G U v R 2 X D p G 5 k Z X J 0 Z X I g V H l w L n t f c G F y Z W 5 0 X 2 l u Z G V 4 L D Z 9 J n F 1 b 3 Q 7 L C Z x d W 9 0 O 1 N l Y 3 R p b 2 4 x L 2 d y b 3 V w X 0 l f M T B j X 0 5 l d W V f Q W 5 n Z W J v d G U v R 2 X D p G 5 k Z X J 0 Z X I g V H l w L n t f d G F n c y w 3 f S Z x d W 9 0 O y w m c X V v d D t T Z W N 0 a W 9 u M S 9 n c m 9 1 c F 9 J X z E w Y 1 9 O Z X V l X 0 F u Z 2 V i b 3 R l L 0 d l w 6 R u Z G V y d G V y I F R 5 c C 5 7 X 2 5 v d G V z L D h 9 J n F 1 b 3 Q 7 X S w m c X V v d D t D b 2 x 1 b W 5 D b 3 V u d C Z x d W 9 0 O z o 5 L C Z x d W 9 0 O 0 t l e U N v b H V t b k 5 h b W V z J n F 1 b 3 Q 7 O l t d L C Z x d W 9 0 O 0 N v b H V t b k l k Z W 5 0 a X R p Z X M m c X V v d D s 6 W y Z x d W 9 0 O 1 N l Y 3 R p b 2 4 x L 2 d y b 3 V w X 0 l f M T B j X 0 5 l d W V f Q W 5 n Z W J v d G U v R 2 X D p G 5 k Z X J 0 Z X I g V H l w L n t n c m 9 1 c F 9 J X z E w Y 1 9 O Z X V l X 0 F u Z 2 V i b 3 R l L 0 5 l d W V f Q W 5 n Z W J v d G V f d W 5 k X 0 x l a X N 0 d W 5 n Z W 4 s M H 0 m c X V v d D s s J n F 1 b 3 Q 7 U 2 V j d G l v b j E v Z 3 J v d X B f S V 8 x M G N f T m V 1 Z V 9 B b m d l Y m 9 0 Z S 9 H Z c O k b m R l c n R l c i B U e X A u e 1 9 p Z C w x f S Z x d W 9 0 O y w m c X V v d D t T Z W N 0 a W 9 u M S 9 n c m 9 1 c F 9 J X z E w Y 1 9 O Z X V l X 0 F u Z 2 V i b 3 R l L 0 d l w 6 R u Z G V y d G V y I F R 5 c C 5 7 X 3 V 1 a W Q s M n 0 m c X V v d D s s J n F 1 b 3 Q 7 U 2 V j d G l v b j E v Z 3 J v d X B f S V 8 x M G N f T m V 1 Z V 9 B b m d l Y m 9 0 Z S 9 H Z c O k b m R l c n R l c i B U e X A u e 1 9 z d W J t a X N z a W 9 u X 3 R p b W U s M 3 0 m c X V v d D s s J n F 1 b 3 Q 7 U 2 V j d G l v b j E v Z 3 J v d X B f S V 8 x M G N f T m V 1 Z V 9 B b m d l Y m 9 0 Z S 9 H Z c O k b m R l c n R l c i B U e X A u e 1 9 p b m R l e C w 0 f S Z x d W 9 0 O y w m c X V v d D t T Z W N 0 a W 9 u M S 9 n c m 9 1 c F 9 J X z E w Y 1 9 O Z X V l X 0 F u Z 2 V i b 3 R l L 0 d l w 6 R u Z G V y d G V y I F R 5 c C 5 7 X 3 B h c m V u d F 9 0 Y W J s Z V 9 u Y W 1 l L D V 9 J n F 1 b 3 Q 7 L C Z x d W 9 0 O 1 N l Y 3 R p b 2 4 x L 2 d y b 3 V w X 0 l f M T B j X 0 5 l d W V f Q W 5 n Z W J v d G U v R 2 X D p G 5 k Z X J 0 Z X I g V H l w L n t f c G F y Z W 5 0 X 2 l u Z G V 4 L D Z 9 J n F 1 b 3 Q 7 L C Z x d W 9 0 O 1 N l Y 3 R p b 2 4 x L 2 d y b 3 V w X 0 l f M T B j X 0 5 l d W V f Q W 5 n Z W J v d G U v R 2 X D p G 5 k Z X J 0 Z X I g V H l w L n t f d G F n c y w 3 f S Z x d W 9 0 O y w m c X V v d D t T Z W N 0 a W 9 u M S 9 n c m 9 1 c F 9 J X z E w Y 1 9 O Z X V l X 0 F u Z 2 V i b 3 R l L 0 d l w 6 R u Z G V y d G V y I F R 5 c C 5 7 X 2 5 v d G V z L D h 9 J n F 1 b 3 Q 7 X S w m c X V v d D t S Z W x h d G l v b n N o a X B J b m Z v J n F 1 b 3 Q 7 O l t d f S I g L z 4 8 R W 5 0 c n k g V H l w Z T 0 i Q W R k Z W R U b 0 R h d G F N b 2 R l b C I g V m F s d W U 9 I m w w I i A v P j w v U 3 R h Y m x l R W 5 0 c m l l c z 4 8 L 0 l 0 Z W 0 + P E l 0 Z W 0 + P E l 0 Z W 1 M b 2 N h d G l v b j 4 8 S X R l b V R 5 c G U + R m 9 y b X V s Y T w v S X R l b V R 5 c G U + P E l 0 Z W 1 Q Y X R o P l N l Y 3 R p b 2 4 x L 2 d y b 3 V w X 0 l f M T B j X 0 5 l d W V f Q W 5 n Z W J v d G U v U X V l b G x l P C 9 J d G V t U G F 0 a D 4 8 L 0 l 0 Z W 1 M b 2 N h d G l v b j 4 8 U 3 R h Y m x l R W 5 0 c m l l c y A v P j w v S X R l b T 4 8 S X R l b T 4 8 S X R l b U x v Y 2 F 0 a W 9 u P j x J d G V t V H l w Z T 5 G b 3 J t d W x h P C 9 J d G V t V H l w Z T 4 8 S X R l b V B h d G g + U 2 V j d G l v b j E v Z 3 J v d X B f S V 8 x M G N f T m V 1 Z V 9 B b m d l Y m 9 0 Z S 9 n c m 9 1 c F 9 J X z E w Y 1 9 O Z X V l X 0 F u Z 2 V i b 3 R l X 1 N o Z W V 0 P C 9 J d G V t U G F 0 a D 4 8 L 0 l 0 Z W 1 M b 2 N h d G l v b j 4 8 U 3 R h Y m x l R W 5 0 c m l l c y A v P j w v S X R l b T 4 8 S X R l b T 4 8 S X R l b U x v Y 2 F 0 a W 9 u P j x J d G V t V H l w Z T 5 G b 3 J t d W x h P C 9 J d G V t V H l w Z T 4 8 S X R l b V B h d G g + U 2 V j d G l v b j E v Z 3 J v d X B f S V 8 x M G N f T m V 1 Z V 9 B b m d l Y m 9 0 Z S 9 I J U M z J U I 2 a G V y J T I w Z 2 V z d H V m d G U l M j B I Z W F k Z X I 8 L 0 l 0 Z W 1 Q Y X R o P j w v S X R l b U x v Y 2 F 0 a W 9 u P j x T d G F i b G V F b n R y a W V z I C 8 + P C 9 J d G V t P j x J d G V t P j x J d G V t T G 9 j Y X R p b 2 4 + P E l 0 Z W 1 U e X B l P k Z v c m 1 1 b G E 8 L 0 l 0 Z W 1 U e X B l P j x J d G V t U G F 0 a D 5 T Z W N 0 a W 9 u M S 9 n c m 9 1 c F 9 J X z E w Y 1 9 O Z X V l X 0 F u Z 2 V i b 3 R l L 0 d l J U M z J U E 0 b m R l c n R l c i U y M F R 5 c D w v S X R l b V B h d G g + P C 9 J d G V t T G 9 j Y X R p b 2 4 + P F N 0 Y W J s Z U V u d H J p Z X M g L z 4 8 L 0 l 0 Z W 0 + P E l 0 Z W 0 + P E l 0 Z W 1 M b 2 N h d G l v b j 4 8 S X R l b V R 5 c G U + R m 9 y b X V s Y T w v S X R l b V R 5 c G U + P E l 0 Z W 1 Q Y X R o P l N l Y 3 R p b 2 4 x L 2 d y b 3 V w X 0 l f N D B f U G F y d G 5 l c m 9 y Z z 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2 d y b 3 V w X 0 l f N D B f U G F y d G 5 l c m 9 y Z y I g L z 4 8 R W 5 0 c n k g V H l w Z T 0 i R m l s b G V k Q 2 9 t c G x l d G V S Z X N 1 b H R U b 1 d v c m t z a G V l d C I g V m F s d W U 9 I m w x I i A v P j x F b n R y e S B U e X B l P S J G a W x s U 3 R h d H V z I i B W Y W x 1 Z T 0 i c 0 N v b X B s Z X R l I i A v P j x F b n R y e S B U e X B l P S J G a W x s Q 2 9 s d W 1 u T m F t Z X M i I F Z h b H V l P S J z W y Z x d W 9 0 O 2 d y b 3 V w X 0 l f N D B f U G F y d G 5 l c m 9 y Z y 9 J X z Q w X 0 V y Z m F z c 2 V f U G F y d G 5 l c m 9 y Z 2 F u a X N h d G l v b i Z x d W 9 0 O y w m c X V v d D t n c m 9 1 c F 9 J X z Q w X 1 B h c n R u Z X J v c m c v Q X J 0 X 2 R l c l 9 Q Y X J 0 b m V y b 3 J n Y W 5 p c 2 F 0 a W 9 u J n F 1 b 3 Q 7 L C Z x d W 9 0 O 2 d y b 3 V w X 0 l f N D B f U G F y d G 5 l c m 9 y Z y 9 B c n R f Z G V y X 1 B h c n R u Z X J v c m d h b m l z Y X R p b 2 4 v a 2 l y Y 2 h s a W N o X 2 R l b m 9 t a W 5 h d G l v b m V s b C Z x d W 9 0 O y w m c X V v d D t n c m 9 1 c F 9 J X z Q w X 1 B h c n R u Z X J v c m c v Q X J 0 X 2 R l c l 9 Q Y X J 0 b m V y b 3 J n Y W 5 p c 2 F 0 a W 9 u L 2 N o c m l z d G x p Y 2 h f b m l j a H R f Z G V u b 2 1 p b m F 0 a W 9 u Z W x s J n F 1 b 3 Q 7 L C Z x d W 9 0 O 2 d y b 3 V w X 0 l f N D B f U G F y d G 5 l c m 9 y Z y 9 B c n R f Z G V y X 1 B h c n R u Z X J v c m d h b m l z Y X R p b 2 4 v d 2 V s d G x p Y 2 g m c X V v d D s s J n F 1 b 3 Q 7 Z 3 J v d X B f S V 8 0 M F 9 Q Y X J 0 b m V y b 3 J n L 0 F y d F 9 k Z X J f U G F y d G 5 l c m 9 y Z 2 F u a X N h d G l v b i 9 z d G F h d G x p Y 2 g m c X V v d D s s J n F 1 b 3 Q 7 Z 3 J v d X B f S V 8 0 M F 9 Q Y X J 0 b m V y b 3 J n L 0 F y d F 9 k Z X J f U G F y d G 5 l c m 9 y Z 2 F u a X N h d G l v b i 9 v Z m Z p e m l l b G x f Y W 5 l c m t h b m 5 0 X 3 V u Z F 9 y Z W d p c 3 R y a W V y d C Z x d W 9 0 O y w m c X V v d D t n c m 9 1 c F 9 J X z Q w X 1 B h c n R u Z X J v c m c v Q X J 0 X 2 R l c l 9 Q Y X J 0 b m V y b 3 J n Y W 5 p c 2 F 0 a W 9 u L 2 Z v c m 1 l b G x l X 1 p 1 c 2 F t b W V u Y X J i Z W l 0 X 2 1 p d F 9 W Z X J 0 c m F n J n F 1 b 3 Q 7 L C Z x d W 9 0 O 2 d y b 3 V w X 0 l f N D B f U G F y d G 5 l c m 9 y Z y 9 B c n R f Z G V y X 1 B h c n R u Z X J v c m d h b m l z Y X R p b 2 4 v a W 5 m b 3 J t Z W x s Z V 9 a d X N h b W 1 l b m F y Y m V p d F 9 v a G 5 l X 1 Z l c n R y Y W c m c X V v d D s s J n F 1 b 3 Q 7 X 2 l k J n F 1 b 3 Q 7 L C Z x d W 9 0 O 1 9 1 d W l k J n F 1 b 3 Q 7 L C Z x d W 9 0 O 1 9 z d W J t a X N z a W 9 u X 3 R p b W U m c X V v d D s s J n F 1 b 3 Q 7 X 2 l u Z G V 4 J n F 1 b 3 Q 7 L C Z x d W 9 0 O 1 9 w Y X J l b n R f d G F i b G V f b m F t Z S Z x d W 9 0 O y w m c X V v d D t f c G F y Z W 5 0 X 2 l u Z G V 4 J n F 1 b 3 Q 7 L C Z x d W 9 0 O 1 9 0 Y W d z J n F 1 b 3 Q 7 L C Z x d W 9 0 O 1 9 u b 3 R l c y Z x d W 9 0 O 1 0 i I C 8 + P E V u d H J 5 I F R 5 c G U 9 I k Z p b G x D b 2 x 1 b W 5 U e X B l c y I g V m F s d W U 9 I n N C Z 1 l C Q V F F Q k F R R U J B Q U F B Q X d Z R E F B Q T 0 i I C 8 + P E V u d H J 5 I F R 5 c G U 9 I k Z p b G x M Y X N 0 V X B k Y X R l Z C I g V m F s d W U 9 I m Q y M D I x L T A 1 L T A z V D A 5 O j Q 3 O j M 5 L j Y x N T k z N z V a I i A v P j x F b n R y e S B U e X B l P S J G a W x s R X J y b 3 J D b 3 V u d C I g V m F s d W U 9 I m w w I i A v P j x F b n R y e S B U e X B l P S J G a W x s R X J y b 3 J D b 2 R l I i B W Y W x 1 Z T 0 i c 1 V u a 2 5 v d 2 4 i I C 8 + P E V u d H J 5 I F R 5 c G U 9 I l F 1 Z X J 5 S U Q i I F Z h b H V l P S J z M G Y y M D A 3 Z j Y t N T R j Y y 0 0 M D Y w L W J j Z D M t M T l j N j l i Y j R l Y 2 Z l I i A v P j x F b n R y e S B U e X B l P S J G a W x s Q 2 9 1 b n Q i I F Z h b H V l P S J s N S I g L z 4 8 R W 5 0 c n k g V H l w Z T 0 i U m V s Y X R p b 2 5 z a G l w S W 5 m b 0 N v b n R h a W 5 l c i I g V m F s d W U 9 I n N 7 J n F 1 b 3 Q 7 Y 2 9 s d W 1 u Q 2 9 1 b n Q m c X V v d D s 6 M T c s J n F 1 b 3 Q 7 a 2 V 5 Q 2 9 s d W 1 u T m F t Z X M m c X V v d D s 6 W 1 0 s J n F 1 b 3 Q 7 c X V l c n l S Z W x h d G l v b n N o a X B z J n F 1 b 3 Q 7 O l t d L C Z x d W 9 0 O 2 N v b H V t b k l k Z W 5 0 a X R p Z X M m c X V v d D s 6 W y Z x d W 9 0 O 1 N l Y 3 R p b 2 4 x L 2 d y b 3 V w X 0 l f N D B f U G F y d G 5 l c m 9 y Z y 9 H Z c O k b m R l c n R l c i B U e X A u e 2 d y b 3 V w X 0 l f N D B f U G F y d G 5 l c m 9 y Z y 9 J X z Q w X 0 V y Z m F z c 2 V f U G F y d G 5 l c m 9 y Z 2 F u a X N h d G l v b i w w f S Z x d W 9 0 O y w m c X V v d D t T Z W N 0 a W 9 u M S 9 n c m 9 1 c F 9 J X z Q w X 1 B h c n R u Z X J v c m c v R 2 X D p G 5 k Z X J 0 Z X I g V H l w L n t n c m 9 1 c F 9 J X z Q w X 1 B h c n R u Z X J v c m c v Q X J 0 X 2 R l c l 9 Q Y X J 0 b m V y b 3 J n Y W 5 p c 2 F 0 a W 9 u L D F 9 J n F 1 b 3 Q 7 L C Z x d W 9 0 O 1 N l Y 3 R p b 2 4 x L 2 d y b 3 V w X 0 l f N D B f U G F y d G 5 l c m 9 y Z y 9 H Z c O k b m R l c n R l c i B U e X A u e 2 d y b 3 V w X 0 l f N D B f U G F y d G 5 l c m 9 y Z y 9 B c n R f Z G V y X 1 B h c n R u Z X J v c m d h b m l z Y X R p b 2 4 v a 2 l y Y 2 h s a W N o X 2 R l b m 9 t a W 5 h d G l v b m V s b C w y f S Z x d W 9 0 O y w m c X V v d D t T Z W N 0 a W 9 u M S 9 n c m 9 1 c F 9 J X z Q w X 1 B h c n R u Z X J v c m c v R 2 X D p G 5 k Z X J 0 Z X I g V H l w L n t n c m 9 1 c F 9 J X z Q w X 1 B h c n R u Z X J v c m c v Q X J 0 X 2 R l c l 9 Q Y X J 0 b m V y b 3 J n Y W 5 p c 2 F 0 a W 9 u L 2 N o c m l z d G x p Y 2 h f b m l j a H R f Z G V u b 2 1 p b m F 0 a W 9 u Z W x s L D N 9 J n F 1 b 3 Q 7 L C Z x d W 9 0 O 1 N l Y 3 R p b 2 4 x L 2 d y b 3 V w X 0 l f N D B f U G F y d G 5 l c m 9 y Z y 9 H Z c O k b m R l c n R l c i B U e X A u e 2 d y b 3 V w X 0 l f N D B f U G F y d G 5 l c m 9 y Z y 9 B c n R f Z G V y X 1 B h c n R u Z X J v c m d h b m l z Y X R p b 2 4 v d 2 V s d G x p Y 2 g s N H 0 m c X V v d D s s J n F 1 b 3 Q 7 U 2 V j d G l v b j E v Z 3 J v d X B f S V 8 0 M F 9 Q Y X J 0 b m V y b 3 J n L 0 d l w 6 R u Z G V y d G V y I F R 5 c C 5 7 Z 3 J v d X B f S V 8 0 M F 9 Q Y X J 0 b m V y b 3 J n L 0 F y d F 9 k Z X J f U G F y d G 5 l c m 9 y Z 2 F u a X N h d G l v b i 9 z d G F h d G x p Y 2 g s N X 0 m c X V v d D s s J n F 1 b 3 Q 7 U 2 V j d G l v b j E v Z 3 J v d X B f S V 8 0 M F 9 Q Y X J 0 b m V y b 3 J n L 0 d l w 6 R u Z G V y d G V y I F R 5 c C 5 7 Z 3 J v d X B f S V 8 0 M F 9 Q Y X J 0 b m V y b 3 J n L 0 F y d F 9 k Z X J f U G F y d G 5 l c m 9 y Z 2 F u a X N h d G l v b i 9 v Z m Z p e m l l b G x f Y W 5 l c m t h b m 5 0 X 3 V u Z F 9 y Z W d p c 3 R y a W V y d C w 2 f S Z x d W 9 0 O y w m c X V v d D t T Z W N 0 a W 9 u M S 9 n c m 9 1 c F 9 J X z Q w X 1 B h c n R u Z X J v c m c v R 2 X D p G 5 k Z X J 0 Z X I g V H l w L n t n c m 9 1 c F 9 J X z Q w X 1 B h c n R u Z X J v c m c v Q X J 0 X 2 R l c l 9 Q Y X J 0 b m V y b 3 J n Y W 5 p c 2 F 0 a W 9 u L 2 Z v c m 1 l b G x l X 1 p 1 c 2 F t b W V u Y X J i Z W l 0 X 2 1 p d F 9 W Z X J 0 c m F n L D d 9 J n F 1 b 3 Q 7 L C Z x d W 9 0 O 1 N l Y 3 R p b 2 4 x L 2 d y b 3 V w X 0 l f N D B f U G F y d G 5 l c m 9 y Z y 9 H Z c O k b m R l c n R l c i B U e X A u e 2 d y b 3 V w X 0 l f N D B f U G F y d G 5 l c m 9 y Z y 9 B c n R f Z G V y X 1 B h c n R u Z X J v c m d h b m l z Y X R p b 2 4 v a W 5 m b 3 J t Z W x s Z V 9 a d X N h b W 1 l b m F y Y m V p d F 9 v a G 5 l X 1 Z l c n R y Y W c s O H 0 m c X V v d D s s J n F 1 b 3 Q 7 U 2 V j d G l v b j E v Z 3 J v d X B f S V 8 0 M F 9 Q Y X J 0 b m V y b 3 J n L 0 d l w 6 R u Z G V y d G V y I F R 5 c C 5 7 X 2 l k L D l 9 J n F 1 b 3 Q 7 L C Z x d W 9 0 O 1 N l Y 3 R p b 2 4 x L 2 d y b 3 V w X 0 l f N D B f U G F y d G 5 l c m 9 y Z y 9 H Z c O k b m R l c n R l c i B U e X A u e 1 9 1 d W l k L D E w f S Z x d W 9 0 O y w m c X V v d D t T Z W N 0 a W 9 u M S 9 n c m 9 1 c F 9 J X z Q w X 1 B h c n R u Z X J v c m c v R 2 X D p G 5 k Z X J 0 Z X I g V H l w L n t f c 3 V i b W l z c 2 l v b l 9 0 a W 1 l L D E x f S Z x d W 9 0 O y w m c X V v d D t T Z W N 0 a W 9 u M S 9 n c m 9 1 c F 9 J X z Q w X 1 B h c n R u Z X J v c m c v R 2 X D p G 5 k Z X J 0 Z X I g V H l w L n t f a W 5 k Z X g s M T J 9 J n F 1 b 3 Q 7 L C Z x d W 9 0 O 1 N l Y 3 R p b 2 4 x L 2 d y b 3 V w X 0 l f N D B f U G F y d G 5 l c m 9 y Z y 9 H Z c O k b m R l c n R l c i B U e X A u e 1 9 w Y X J l b n R f d G F i b G V f b m F t Z S w x M 3 0 m c X V v d D s s J n F 1 b 3 Q 7 U 2 V j d G l v b j E v Z 3 J v d X B f S V 8 0 M F 9 Q Y X J 0 b m V y b 3 J n L 0 d l w 6 R u Z G V y d G V y I F R 5 c C 5 7 X 3 B h c m V u d F 9 p b m R l e C w x N H 0 m c X V v d D s s J n F 1 b 3 Q 7 U 2 V j d G l v b j E v Z 3 J v d X B f S V 8 0 M F 9 Q Y X J 0 b m V y b 3 J n L 0 d l w 6 R u Z G V y d G V y I F R 5 c C 5 7 X 3 R h Z 3 M s M T V 9 J n F 1 b 3 Q 7 L C Z x d W 9 0 O 1 N l Y 3 R p b 2 4 x L 2 d y b 3 V w X 0 l f N D B f U G F y d G 5 l c m 9 y Z y 9 H Z c O k b m R l c n R l c i B U e X A u e 1 9 u b 3 R l c y w x N n 0 m c X V v d D t d L C Z x d W 9 0 O 0 N v b H V t b k N v d W 5 0 J n F 1 b 3 Q 7 O j E 3 L C Z x d W 9 0 O 0 t l e U N v b H V t b k 5 h b W V z J n F 1 b 3 Q 7 O l t d L C Z x d W 9 0 O 0 N v b H V t b k l k Z W 5 0 a X R p Z X M m c X V v d D s 6 W y Z x d W 9 0 O 1 N l Y 3 R p b 2 4 x L 2 d y b 3 V w X 0 l f N D B f U G F y d G 5 l c m 9 y Z y 9 H Z c O k b m R l c n R l c i B U e X A u e 2 d y b 3 V w X 0 l f N D B f U G F y d G 5 l c m 9 y Z y 9 J X z Q w X 0 V y Z m F z c 2 V f U G F y d G 5 l c m 9 y Z 2 F u a X N h d G l v b i w w f S Z x d W 9 0 O y w m c X V v d D t T Z W N 0 a W 9 u M S 9 n c m 9 1 c F 9 J X z Q w X 1 B h c n R u Z X J v c m c v R 2 X D p G 5 k Z X J 0 Z X I g V H l w L n t n c m 9 1 c F 9 J X z Q w X 1 B h c n R u Z X J v c m c v Q X J 0 X 2 R l c l 9 Q Y X J 0 b m V y b 3 J n Y W 5 p c 2 F 0 a W 9 u L D F 9 J n F 1 b 3 Q 7 L C Z x d W 9 0 O 1 N l Y 3 R p b 2 4 x L 2 d y b 3 V w X 0 l f N D B f U G F y d G 5 l c m 9 y Z y 9 H Z c O k b m R l c n R l c i B U e X A u e 2 d y b 3 V w X 0 l f N D B f U G F y d G 5 l c m 9 y Z y 9 B c n R f Z G V y X 1 B h c n R u Z X J v c m d h b m l z Y X R p b 2 4 v a 2 l y Y 2 h s a W N o X 2 R l b m 9 t a W 5 h d G l v b m V s b C w y f S Z x d W 9 0 O y w m c X V v d D t T Z W N 0 a W 9 u M S 9 n c m 9 1 c F 9 J X z Q w X 1 B h c n R u Z X J v c m c v R 2 X D p G 5 k Z X J 0 Z X I g V H l w L n t n c m 9 1 c F 9 J X z Q w X 1 B h c n R u Z X J v c m c v Q X J 0 X 2 R l c l 9 Q Y X J 0 b m V y b 3 J n Y W 5 p c 2 F 0 a W 9 u L 2 N o c m l z d G x p Y 2 h f b m l j a H R f Z G V u b 2 1 p b m F 0 a W 9 u Z W x s L D N 9 J n F 1 b 3 Q 7 L C Z x d W 9 0 O 1 N l Y 3 R p b 2 4 x L 2 d y b 3 V w X 0 l f N D B f U G F y d G 5 l c m 9 y Z y 9 H Z c O k b m R l c n R l c i B U e X A u e 2 d y b 3 V w X 0 l f N D B f U G F y d G 5 l c m 9 y Z y 9 B c n R f Z G V y X 1 B h c n R u Z X J v c m d h b m l z Y X R p b 2 4 v d 2 V s d G x p Y 2 g s N H 0 m c X V v d D s s J n F 1 b 3 Q 7 U 2 V j d G l v b j E v Z 3 J v d X B f S V 8 0 M F 9 Q Y X J 0 b m V y b 3 J n L 0 d l w 6 R u Z G V y d G V y I F R 5 c C 5 7 Z 3 J v d X B f S V 8 0 M F 9 Q Y X J 0 b m V y b 3 J n L 0 F y d F 9 k Z X J f U G F y d G 5 l c m 9 y Z 2 F u a X N h d G l v b i 9 z d G F h d G x p Y 2 g s N X 0 m c X V v d D s s J n F 1 b 3 Q 7 U 2 V j d G l v b j E v Z 3 J v d X B f S V 8 0 M F 9 Q Y X J 0 b m V y b 3 J n L 0 d l w 6 R u Z G V y d G V y I F R 5 c C 5 7 Z 3 J v d X B f S V 8 0 M F 9 Q Y X J 0 b m V y b 3 J n L 0 F y d F 9 k Z X J f U G F y d G 5 l c m 9 y Z 2 F u a X N h d G l v b i 9 v Z m Z p e m l l b G x f Y W 5 l c m t h b m 5 0 X 3 V u Z F 9 y Z W d p c 3 R y a W V y d C w 2 f S Z x d W 9 0 O y w m c X V v d D t T Z W N 0 a W 9 u M S 9 n c m 9 1 c F 9 J X z Q w X 1 B h c n R u Z X J v c m c v R 2 X D p G 5 k Z X J 0 Z X I g V H l w L n t n c m 9 1 c F 9 J X z Q w X 1 B h c n R u Z X J v c m c v Q X J 0 X 2 R l c l 9 Q Y X J 0 b m V y b 3 J n Y W 5 p c 2 F 0 a W 9 u L 2 Z v c m 1 l b G x l X 1 p 1 c 2 F t b W V u Y X J i Z W l 0 X 2 1 p d F 9 W Z X J 0 c m F n L D d 9 J n F 1 b 3 Q 7 L C Z x d W 9 0 O 1 N l Y 3 R p b 2 4 x L 2 d y b 3 V w X 0 l f N D B f U G F y d G 5 l c m 9 y Z y 9 H Z c O k b m R l c n R l c i B U e X A u e 2 d y b 3 V w X 0 l f N D B f U G F y d G 5 l c m 9 y Z y 9 B c n R f Z G V y X 1 B h c n R u Z X J v c m d h b m l z Y X R p b 2 4 v a W 5 m b 3 J t Z W x s Z V 9 a d X N h b W 1 l b m F y Y m V p d F 9 v a G 5 l X 1 Z l c n R y Y W c s O H 0 m c X V v d D s s J n F 1 b 3 Q 7 U 2 V j d G l v b j E v Z 3 J v d X B f S V 8 0 M F 9 Q Y X J 0 b m V y b 3 J n L 0 d l w 6 R u Z G V y d G V y I F R 5 c C 5 7 X 2 l k L D l 9 J n F 1 b 3 Q 7 L C Z x d W 9 0 O 1 N l Y 3 R p b 2 4 x L 2 d y b 3 V w X 0 l f N D B f U G F y d G 5 l c m 9 y Z y 9 H Z c O k b m R l c n R l c i B U e X A u e 1 9 1 d W l k L D E w f S Z x d W 9 0 O y w m c X V v d D t T Z W N 0 a W 9 u M S 9 n c m 9 1 c F 9 J X z Q w X 1 B h c n R u Z X J v c m c v R 2 X D p G 5 k Z X J 0 Z X I g V H l w L n t f c 3 V i b W l z c 2 l v b l 9 0 a W 1 l L D E x f S Z x d W 9 0 O y w m c X V v d D t T Z W N 0 a W 9 u M S 9 n c m 9 1 c F 9 J X z Q w X 1 B h c n R u Z X J v c m c v R 2 X D p G 5 k Z X J 0 Z X I g V H l w L n t f a W 5 k Z X g s M T J 9 J n F 1 b 3 Q 7 L C Z x d W 9 0 O 1 N l Y 3 R p b 2 4 x L 2 d y b 3 V w X 0 l f N D B f U G F y d G 5 l c m 9 y Z y 9 H Z c O k b m R l c n R l c i B U e X A u e 1 9 w Y X J l b n R f d G F i b G V f b m F t Z S w x M 3 0 m c X V v d D s s J n F 1 b 3 Q 7 U 2 V j d G l v b j E v Z 3 J v d X B f S V 8 0 M F 9 Q Y X J 0 b m V y b 3 J n L 0 d l w 6 R u Z G V y d G V y I F R 5 c C 5 7 X 3 B h c m V u d F 9 p b m R l e C w x N H 0 m c X V v d D s s J n F 1 b 3 Q 7 U 2 V j d G l v b j E v Z 3 J v d X B f S V 8 0 M F 9 Q Y X J 0 b m V y b 3 J n L 0 d l w 6 R u Z G V y d G V y I F R 5 c C 5 7 X 3 R h Z 3 M s M T V 9 J n F 1 b 3 Q 7 L C Z x d W 9 0 O 1 N l Y 3 R p b 2 4 x L 2 d y b 3 V w X 0 l f N D B f U G F y d G 5 l c m 9 y Z y 9 H Z c O k b m R l c n R l c i B U e X A u e 1 9 u b 3 R l c y w x N n 0 m c X V v d D t d L C Z x d W 9 0 O 1 J l b G F 0 a W 9 u c 2 h p c E l u Z m 8 m c X V v d D s 6 W 1 1 9 I i A v P j x F b n R y e S B U e X B l P S J B Z G R l Z F R v R G F 0 Y U 1 v Z G V s I i B W Y W x 1 Z T 0 i b D A i I C 8 + P C 9 T d G F i b G V F b n R y a W V z P j w v S X R l b T 4 8 S X R l b T 4 8 S X R l b U x v Y 2 F 0 a W 9 u P j x J d G V t V H l w Z T 5 G b 3 J t d W x h P C 9 J d G V t V H l w Z T 4 8 S X R l b V B h d G g + U 2 V j d G l v b j E v Z 3 J v d X B f S V 8 0 M F 9 Q Y X J 0 b m V y b 3 J n L 1 F 1 Z W x s Z T w v S X R l b V B h d G g + P C 9 J d G V t T G 9 j Y X R p b 2 4 + P F N 0 Y W J s Z U V u d H J p Z X M g L z 4 8 L 0 l 0 Z W 0 + P E l 0 Z W 0 + P E l 0 Z W 1 M b 2 N h d G l v b j 4 8 S X R l b V R 5 c G U + R m 9 y b X V s Y T w v S X R l b V R 5 c G U + P E l 0 Z W 1 Q Y X R o P l N l Y 3 R p b 2 4 x L 2 d y b 3 V w X 0 l f N D B f U G F y d G 5 l c m 9 y Z y 9 n c m 9 1 c F 9 J X z Q w X 1 B h c n R u Z X J v c m d f U 2 h l Z X Q 8 L 0 l 0 Z W 1 Q Y X R o P j w v S X R l b U x v Y 2 F 0 a W 9 u P j x T d G F i b G V F b n R y a W V z I C 8 + P C 9 J d G V t P j x J d G V t P j x J d G V t T G 9 j Y X R p b 2 4 + P E l 0 Z W 1 U e X B l P k Z v c m 1 1 b G E 8 L 0 l 0 Z W 1 U e X B l P j x J d G V t U G F 0 a D 5 T Z W N 0 a W 9 u M S 9 n c m 9 1 c F 9 J X z Q w X 1 B h c n R u Z X J v c m c v S C V D M y V C N m h l c i U y M G d l c 3 R 1 Z n R l J T I w S G V h Z G V y P C 9 J d G V t U G F 0 a D 4 8 L 0 l 0 Z W 1 M b 2 N h d G l v b j 4 8 U 3 R h Y m x l R W 5 0 c m l l c y A v P j w v S X R l b T 4 8 S X R l b T 4 8 S X R l b U x v Y 2 F 0 a W 9 u P j x J d G V t V H l w Z T 5 G b 3 J t d W x h P C 9 J d G V t V H l w Z T 4 8 S X R l b V B h d G g + U 2 V j d G l v b j E v Z 3 J v d X B f S V 8 0 M F 9 Q Y X J 0 b m V y b 3 J n L 0 d l J U M z J U E 0 b m R l c n R l c i U y M F R 5 c D w v S X R l b V B h d G g + P C 9 J d G V t T G 9 j Y X R p b 2 4 + P F N 0 Y W J s Z U V u d H J p Z X M g L z 4 8 L 0 l 0 Z W 0 + P E l 0 Z W 0 + P E l 0 Z W 1 M b 2 N h d G l v b j 4 8 S X R l b V R 5 c G U + R m 9 y b X V s Y T w v S X R l b V R 5 c G U + P E l 0 Z W 1 Q Y X R o P l N l Y 3 R p b 2 4 x L 2 d y b 3 V w X 0 l f N D F f R W l u c 2 F 0 e m x l a X N 0 Z W 5 k Z 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2 d y b 3 V w X 0 l f N D F f R W l u c 2 F 0 e m x l a X N 0 Z W 5 k Z S I g L z 4 8 R W 5 0 c n k g V H l w Z T 0 i R m l s b G V k Q 2 9 t c G x l d G V S Z X N 1 b H R U b 1 d v c m t z a G V l d C I g V m F s d W U 9 I m w x I i A v P j x F b n R y e S B U e X B l P S J G a W x s U 3 R h d H V z I i B W Y W x 1 Z T 0 i c 0 N v b X B s Z X R l I i A v P j x F b n R y e S B U e X B l P S J G a W x s Q 2 9 s d W 1 u T m F t Z X M i I F Z h b H V l P S J z W y Z x d W 9 0 O 2 d y b 3 V w X 0 l f N D F f R W l u c 2 F 0 e m x l a X N 0 Z W 5 k Z S 9 O Y W 1 l X 3 V u Z F 9 W b 3 J u Y W 1 l X 0 V p b n N h d H p s Z W l z d G V u Z G V f c i Z x d W 9 0 O y w m c X V v d D t n c m 9 1 c F 9 J X z Q x X 0 V p b n N h d H p s Z W l z d G V u Z G U v R 2 V z Y 2 h s Z W N o d C Z x d W 9 0 O y w m c X V v d D t n c m 9 1 c F 9 J X z Q x X 0 V p b n N h d H p s Z W l z d G V u Z G U v R W l u c 2 F 0 e m F y d C Z x d W 9 0 O y w m c X V v d D t n c m 9 1 c F 9 J X z Q x X 0 V p b n N h d H p s Z W l z d G V u Z G U v R n V u a 3 R p b 2 4 m c X V v d D s s J n F 1 b 3 Q 7 Z 3 J v d X B f S V 8 0 M V 9 F a W 5 z Y X R 6 b G V p c 3 R l b m R l L 0 l t X 0 V p b n N h d H p f c 2 V p d C Z x d W 9 0 O y w m c X V v d D t n c m 9 1 c F 9 J X z Q x X 0 V p b n N h d H p s Z W l z d G V u Z G U v R W l u c 2 F 0 e l 9 n Z X B s Y W 5 0 X 2 J p c 1 9 2 b 3 J h d X N z a W N o d G x p Y 2 g m c X V v d D s s J n F 1 b 3 Q 7 X 2 l k J n F 1 b 3 Q 7 L C Z x d W 9 0 O 1 9 1 d W l k J n F 1 b 3 Q 7 L C Z x d W 9 0 O 1 9 z d W J t a X N z a W 9 u X 3 R p b W U m c X V v d D s s J n F 1 b 3 Q 7 X 2 l u Z G V 4 J n F 1 b 3 Q 7 L C Z x d W 9 0 O 1 9 w Y X J l b n R f d G F i b G V f b m F t Z S Z x d W 9 0 O y w m c X V v d D t f c G F y Z W 5 0 X 2 l u Z G V 4 J n F 1 b 3 Q 7 L C Z x d W 9 0 O 1 9 0 Y W d z J n F 1 b 3 Q 7 L C Z x d W 9 0 O 1 9 u b 3 R l c y Z x d W 9 0 O 1 0 i I C 8 + P E V u d H J 5 I F R 5 c G U 9 I k Z p b G x D b 2 x 1 b W 5 U e X B l c y I g V m F s d W U 9 I n N C Z 1 l H Q m d N R E F B Q U F B d 1 l E Q U F B P S I g L z 4 8 R W 5 0 c n k g V H l w Z T 0 i R m l s b E x h c 3 R V c G R h d G V k I i B W Y W x 1 Z T 0 i Z D I w M j E t M D U t M D N U M D k 6 N D c 6 M z k u N T g 1 M D Q 5 M 1 o i I C 8 + P E V u d H J 5 I F R 5 c G U 9 I k Z p b G x F c n J v c k N v d W 5 0 I i B W Y W x 1 Z T 0 i b D A i I C 8 + P E V u d H J 5 I F R 5 c G U 9 I k Z p b G x F c n J v c k N v Z G U i I F Z h b H V l P S J z V W 5 r b m 9 3 b i I g L z 4 8 R W 5 0 c n k g V H l w Z T 0 i U X V l c n l J R C I g V m F s d W U 9 I n N h Z T E z O D I w M i 0 3 N D Q z L T Q 0 Z D g t O D Q 3 Y i 1 m O G E 2 Y T c 1 Z D E z M z g i I C 8 + P E V u d H J 5 I F R 5 c G U 9 I k 5 h d m l n Y X R p b 2 5 T d G V w T m F t Z S I g V m F s d W U 9 I n N O Y X Z p Z 2 F 0 a W 9 u I i A v P j x F b n R y e S B U e X B l P S J G a W x s Q 2 9 1 b n Q i I F Z h b H V l P S J s N S I g L z 4 8 R W 5 0 c n k g V H l w Z T 0 i U m V s Y X R p b 2 5 z a G l w S W 5 m b 0 N v b n R h a W 5 l c i I g V m F s d W U 9 I n N 7 J n F 1 b 3 Q 7 Y 2 9 s d W 1 u Q 2 9 1 b n Q m c X V v d D s 6 M T Q s J n F 1 b 3 Q 7 a 2 V 5 Q 2 9 s d W 1 u T m F t Z X M m c X V v d D s 6 W 1 0 s J n F 1 b 3 Q 7 c X V l c n l S Z W x h d G l v b n N o a X B z J n F 1 b 3 Q 7 O l t d L C Z x d W 9 0 O 2 N v b H V t b k l k Z W 5 0 a X R p Z X M m c X V v d D s 6 W y Z x d W 9 0 O 1 N l Y 3 R p b 2 4 x L 2 d y b 3 V w X 0 l f N D F f R W l u c 2 F 0 e m x l a X N 0 Z W 5 k Z S 9 H Z c O k b m R l c n R l c i B U e X A u e 2 d y b 3 V w X 0 l f N D F f R W l u c 2 F 0 e m x l a X N 0 Z W 5 k Z S 9 O Y W 1 l X 3 V u Z F 9 W b 3 J u Y W 1 l X 0 V p b n N h d H p s Z W l z d G V u Z G V f c i w w f S Z x d W 9 0 O y w m c X V v d D t T Z W N 0 a W 9 u M S 9 n c m 9 1 c F 9 J X z Q x X 0 V p b n N h d H p s Z W l z d G V u Z G U v R 2 X D p G 5 k Z X J 0 Z X I g V H l w L n t n c m 9 1 c F 9 J X z Q x X 0 V p b n N h d H p s Z W l z d G V u Z G U v R 2 V z Y 2 h s Z W N o d C w x f S Z x d W 9 0 O y w m c X V v d D t T Z W N 0 a W 9 u M S 9 n c m 9 1 c F 9 J X z Q x X 0 V p b n N h d H p s Z W l z d G V u Z G U v R 2 X D p G 5 k Z X J 0 Z X I g V H l w L n t n c m 9 1 c F 9 J X z Q x X 0 V p b n N h d H p s Z W l z d G V u Z G U v R W l u c 2 F 0 e m F y d C w y f S Z x d W 9 0 O y w m c X V v d D t T Z W N 0 a W 9 u M S 9 n c m 9 1 c F 9 J X z Q x X 0 V p b n N h d H p s Z W l z d G V u Z G U v R 2 X D p G 5 k Z X J 0 Z X I g V H l w L n t n c m 9 1 c F 9 J X z Q x X 0 V p b n N h d H p s Z W l z d G V u Z G U v R n V u a 3 R p b 2 4 s M 3 0 m c X V v d D s s J n F 1 b 3 Q 7 U 2 V j d G l v b j E v Z 3 J v d X B f S V 8 0 M V 9 F a W 5 z Y X R 6 b G V p c 3 R l b m R l L 0 d l w 6 R u Z G V y d G V y I F R 5 c C 5 7 Z 3 J v d X B f S V 8 0 M V 9 F a W 5 z Y X R 6 b G V p c 3 R l b m R l L 0 l t X 0 V p b n N h d H p f c 2 V p d C w 0 f S Z x d W 9 0 O y w m c X V v d D t T Z W N 0 a W 9 u M S 9 n c m 9 1 c F 9 J X z Q x X 0 V p b n N h d H p s Z W l z d G V u Z G U v R 2 X D p G 5 k Z X J 0 Z X I g V H l w L n t n c m 9 1 c F 9 J X z Q x X 0 V p b n N h d H p s Z W l z d G V u Z G U v R W l u c 2 F 0 e l 9 n Z X B s Y W 5 0 X 2 J p c 1 9 2 b 3 J h d X N z a W N o d G x p Y 2 g s N X 0 m c X V v d D s s J n F 1 b 3 Q 7 U 2 V j d G l v b j E v Z 3 J v d X B f S V 8 0 M V 9 F a W 5 z Y X R 6 b G V p c 3 R l b m R l L 0 d l w 6 R u Z G V y d G V y I F R 5 c C 5 7 X 2 l k L D Z 9 J n F 1 b 3 Q 7 L C Z x d W 9 0 O 1 N l Y 3 R p b 2 4 x L 2 d y b 3 V w X 0 l f N D F f R W l u c 2 F 0 e m x l a X N 0 Z W 5 k Z S 9 H Z c O k b m R l c n R l c i B U e X A u e 1 9 1 d W l k L D d 9 J n F 1 b 3 Q 7 L C Z x d W 9 0 O 1 N l Y 3 R p b 2 4 x L 2 d y b 3 V w X 0 l f N D F f R W l u c 2 F 0 e m x l a X N 0 Z W 5 k Z S 9 H Z c O k b m R l c n R l c i B U e X A u e 1 9 z d W J t a X N z a W 9 u X 3 R p b W U s O H 0 m c X V v d D s s J n F 1 b 3 Q 7 U 2 V j d G l v b j E v Z 3 J v d X B f S V 8 0 M V 9 F a W 5 z Y X R 6 b G V p c 3 R l b m R l L 0 d l w 6 R u Z G V y d G V y I F R 5 c C 5 7 X 2 l u Z G V 4 L D l 9 J n F 1 b 3 Q 7 L C Z x d W 9 0 O 1 N l Y 3 R p b 2 4 x L 2 d y b 3 V w X 0 l f N D F f R W l u c 2 F 0 e m x l a X N 0 Z W 5 k Z S 9 H Z c O k b m R l c n R l c i B U e X A u e 1 9 w Y X J l b n R f d G F i b G V f b m F t Z S w x M H 0 m c X V v d D s s J n F 1 b 3 Q 7 U 2 V j d G l v b j E v Z 3 J v d X B f S V 8 0 M V 9 F a W 5 z Y X R 6 b G V p c 3 R l b m R l L 0 d l w 6 R u Z G V y d G V y I F R 5 c C 5 7 X 3 B h c m V u d F 9 p b m R l e C w x M X 0 m c X V v d D s s J n F 1 b 3 Q 7 U 2 V j d G l v b j E v Z 3 J v d X B f S V 8 0 M V 9 F a W 5 z Y X R 6 b G V p c 3 R l b m R l L 0 d l w 6 R u Z G V y d G V y I F R 5 c C 5 7 X 3 R h Z 3 M s M T J 9 J n F 1 b 3 Q 7 L C Z x d W 9 0 O 1 N l Y 3 R p b 2 4 x L 2 d y b 3 V w X 0 l f N D F f R W l u c 2 F 0 e m x l a X N 0 Z W 5 k Z S 9 H Z c O k b m R l c n R l c i B U e X A u e 1 9 u b 3 R l c y w x M 3 0 m c X V v d D t d L C Z x d W 9 0 O 0 N v b H V t b k N v d W 5 0 J n F 1 b 3 Q 7 O j E 0 L C Z x d W 9 0 O 0 t l e U N v b H V t b k 5 h b W V z J n F 1 b 3 Q 7 O l t d L C Z x d W 9 0 O 0 N v b H V t b k l k Z W 5 0 a X R p Z X M m c X V v d D s 6 W y Z x d W 9 0 O 1 N l Y 3 R p b 2 4 x L 2 d y b 3 V w X 0 l f N D F f R W l u c 2 F 0 e m x l a X N 0 Z W 5 k Z S 9 H Z c O k b m R l c n R l c i B U e X A u e 2 d y b 3 V w X 0 l f N D F f R W l u c 2 F 0 e m x l a X N 0 Z W 5 k Z S 9 O Y W 1 l X 3 V u Z F 9 W b 3 J u Y W 1 l X 0 V p b n N h d H p s Z W l z d G V u Z G V f c i w w f S Z x d W 9 0 O y w m c X V v d D t T Z W N 0 a W 9 u M S 9 n c m 9 1 c F 9 J X z Q x X 0 V p b n N h d H p s Z W l z d G V u Z G U v R 2 X D p G 5 k Z X J 0 Z X I g V H l w L n t n c m 9 1 c F 9 J X z Q x X 0 V p b n N h d H p s Z W l z d G V u Z G U v R 2 V z Y 2 h s Z W N o d C w x f S Z x d W 9 0 O y w m c X V v d D t T Z W N 0 a W 9 u M S 9 n c m 9 1 c F 9 J X z Q x X 0 V p b n N h d H p s Z W l z d G V u Z G U v R 2 X D p G 5 k Z X J 0 Z X I g V H l w L n t n c m 9 1 c F 9 J X z Q x X 0 V p b n N h d H p s Z W l z d G V u Z G U v R W l u c 2 F 0 e m F y d C w y f S Z x d W 9 0 O y w m c X V v d D t T Z W N 0 a W 9 u M S 9 n c m 9 1 c F 9 J X z Q x X 0 V p b n N h d H p s Z W l z d G V u Z G U v R 2 X D p G 5 k Z X J 0 Z X I g V H l w L n t n c m 9 1 c F 9 J X z Q x X 0 V p b n N h d H p s Z W l z d G V u Z G U v R n V u a 3 R p b 2 4 s M 3 0 m c X V v d D s s J n F 1 b 3 Q 7 U 2 V j d G l v b j E v Z 3 J v d X B f S V 8 0 M V 9 F a W 5 z Y X R 6 b G V p c 3 R l b m R l L 0 d l w 6 R u Z G V y d G V y I F R 5 c C 5 7 Z 3 J v d X B f S V 8 0 M V 9 F a W 5 z Y X R 6 b G V p c 3 R l b m R l L 0 l t X 0 V p b n N h d H p f c 2 V p d C w 0 f S Z x d W 9 0 O y w m c X V v d D t T Z W N 0 a W 9 u M S 9 n c m 9 1 c F 9 J X z Q x X 0 V p b n N h d H p s Z W l z d G V u Z G U v R 2 X D p G 5 k Z X J 0 Z X I g V H l w L n t n c m 9 1 c F 9 J X z Q x X 0 V p b n N h d H p s Z W l z d G V u Z G U v R W l u c 2 F 0 e l 9 n Z X B s Y W 5 0 X 2 J p c 1 9 2 b 3 J h d X N z a W N o d G x p Y 2 g s N X 0 m c X V v d D s s J n F 1 b 3 Q 7 U 2 V j d G l v b j E v Z 3 J v d X B f S V 8 0 M V 9 F a W 5 z Y X R 6 b G V p c 3 R l b m R l L 0 d l w 6 R u Z G V y d G V y I F R 5 c C 5 7 X 2 l k L D Z 9 J n F 1 b 3 Q 7 L C Z x d W 9 0 O 1 N l Y 3 R p b 2 4 x L 2 d y b 3 V w X 0 l f N D F f R W l u c 2 F 0 e m x l a X N 0 Z W 5 k Z S 9 H Z c O k b m R l c n R l c i B U e X A u e 1 9 1 d W l k L D d 9 J n F 1 b 3 Q 7 L C Z x d W 9 0 O 1 N l Y 3 R p b 2 4 x L 2 d y b 3 V w X 0 l f N D F f R W l u c 2 F 0 e m x l a X N 0 Z W 5 k Z S 9 H Z c O k b m R l c n R l c i B U e X A u e 1 9 z d W J t a X N z a W 9 u X 3 R p b W U s O H 0 m c X V v d D s s J n F 1 b 3 Q 7 U 2 V j d G l v b j E v Z 3 J v d X B f S V 8 0 M V 9 F a W 5 z Y X R 6 b G V p c 3 R l b m R l L 0 d l w 6 R u Z G V y d G V y I F R 5 c C 5 7 X 2 l u Z G V 4 L D l 9 J n F 1 b 3 Q 7 L C Z x d W 9 0 O 1 N l Y 3 R p b 2 4 x L 2 d y b 3 V w X 0 l f N D F f R W l u c 2 F 0 e m x l a X N 0 Z W 5 k Z S 9 H Z c O k b m R l c n R l c i B U e X A u e 1 9 w Y X J l b n R f d G F i b G V f b m F t Z S w x M H 0 m c X V v d D s s J n F 1 b 3 Q 7 U 2 V j d G l v b j E v Z 3 J v d X B f S V 8 0 M V 9 F a W 5 z Y X R 6 b G V p c 3 R l b m R l L 0 d l w 6 R u Z G V y d G V y I F R 5 c C 5 7 X 3 B h c m V u d F 9 p b m R l e C w x M X 0 m c X V v d D s s J n F 1 b 3 Q 7 U 2 V j d G l v b j E v Z 3 J v d X B f S V 8 0 M V 9 F a W 5 z Y X R 6 b G V p c 3 R l b m R l L 0 d l w 6 R u Z G V y d G V y I F R 5 c C 5 7 X 3 R h Z 3 M s M T J 9 J n F 1 b 3 Q 7 L C Z x d W 9 0 O 1 N l Y 3 R p b 2 4 x L 2 d y b 3 V w X 0 l f N D F f R W l u c 2 F 0 e m x l a X N 0 Z W 5 k Z S 9 H Z c O k b m R l c n R l c i B U e X A u e 1 9 u b 3 R l c y w x M 3 0 m c X V v d D t d L C Z x d W 9 0 O 1 J l b G F 0 a W 9 u c 2 h p c E l u Z m 8 m c X V v d D s 6 W 1 1 9 I i A v P j x F b n R y e S B U e X B l P S J B Z G R l Z F R v R G F 0 Y U 1 v Z G V s I i B W Y W x 1 Z T 0 i b D A i I C 8 + P C 9 T d G F i b G V F b n R y a W V z P j w v S X R l b T 4 8 S X R l b T 4 8 S X R l b U x v Y 2 F 0 a W 9 u P j x J d G V t V H l w Z T 5 G b 3 J t d W x h P C 9 J d G V t V H l w Z T 4 8 S X R l b V B h d G g + U 2 V j d G l v b j E v Z 3 J v d X B f S V 8 0 M V 9 F a W 5 z Y X R 6 b G V p c 3 R l b m R l L 1 F 1 Z W x s Z T w v S X R l b V B h d G g + P C 9 J d G V t T G 9 j Y X R p b 2 4 + P F N 0 Y W J s Z U V u d H J p Z X M g L z 4 8 L 0 l 0 Z W 0 + P E l 0 Z W 0 + P E l 0 Z W 1 M b 2 N h d G l v b j 4 8 S X R l b V R 5 c G U + R m 9 y b X V s Y T w v S X R l b V R 5 c G U + P E l 0 Z W 1 Q Y X R o P l N l Y 3 R p b 2 4 x L 2 d y b 3 V w X 0 l f N D F f R W l u c 2 F 0 e m x l a X N 0 Z W 5 k Z S 9 n c m 9 1 c F 9 J X z Q x X 0 V p b n N h d H p s Z W l z d G V u Z G V f U 2 h l Z X Q 8 L 0 l 0 Z W 1 Q Y X R o P j w v S X R l b U x v Y 2 F 0 a W 9 u P j x T d G F i b G V F b n R y a W V z I C 8 + P C 9 J d G V t P j x J d G V t P j x J d G V t T G 9 j Y X R p b 2 4 + P E l 0 Z W 1 U e X B l P k Z v c m 1 1 b G E 8 L 0 l 0 Z W 1 U e X B l P j x J d G V t U G F 0 a D 5 T Z W N 0 a W 9 u M S 9 n c m 9 1 c F 9 J X z Q x X 0 V p b n N h d H p s Z W l z d G V u Z G U v S C V D M y V C N m h l c i U y M G d l c 3 R 1 Z n R l J T I w S G V h Z G V y P C 9 J d G V t U G F 0 a D 4 8 L 0 l 0 Z W 1 M b 2 N h d G l v b j 4 8 U 3 R h Y m x l R W 5 0 c m l l c y A v P j w v S X R l b T 4 8 S X R l b T 4 8 S X R l b U x v Y 2 F 0 a W 9 u P j x J d G V t V H l w Z T 5 G b 3 J t d W x h P C 9 J d G V t V H l w Z T 4 8 S X R l b V B h d G g + U 2 V j d G l v b j E v Z 3 J v d X B f S V 8 0 M V 9 F a W 5 z Y X R 6 b G V p c 3 R l b m R l L 0 d l J U M z J U E 0 b m R l c n R l c i U y M F R 5 c D w v S X R l b V B h d G g + P C 9 J d G V t T G 9 j Y X R p b 2 4 + P F N 0 Y W J s Z U V u d H J p Z X M g L z 4 8 L 0 l 0 Z W 0 + P E l 0 Z W 0 + P E l 0 Z W 1 M b 2 N h d G l v b j 4 8 S X R l b V R 5 c G U + R m 9 y b X V s Y T w v S X R l b V R 5 c G U + P E l 0 Z W 1 Q Y X R o P l N l Y 3 R p b 2 4 x L 2 d y b 3 V w X 0 l f N T B f c 3 R y d W t 0 X 1 Z l c m F l b m Q 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n c m 9 1 c F 9 J X z U w X 3 N 0 c n V r d F 9 W Z X J h Z W 5 k I i A v P j x F b n R y e S B U e X B l P S J G a W x s Z W R D b 2 1 w b G V 0 Z V J l c 3 V s d F R v V 2 9 y a 3 N o Z W V 0 I i B W Y W x 1 Z T 0 i b D E i I C 8 + P E V u d H J 5 I F R 5 c G U 9 I k Z p b G x T d G F 0 d X M i I F Z h b H V l P S J z Q 2 9 t c G x l d G U i I C 8 + P E V u d H J 5 I F R 5 c G U 9 I k Z p b G x D b 2 x 1 b W 5 O Y W 1 l c y I g V m F s d W U 9 I n N b J n F 1 b 3 Q 7 Z 3 J v d X B f S V 8 1 M F 9 z d H J 1 a 3 R f V m V y Y W V u Z C 9 J X z U w X 0 J l c 2 N o c m V p Y m V f b 3 J n X 1 Z l c m F l b m R l c i Z x d W 9 0 O y w m c X V v d D t f a W Q m c X V v d D s s J n F 1 b 3 Q 7 X 3 V 1 a W Q m c X V v d D s s J n F 1 b 3 Q 7 X 3 N 1 Y m 1 p c 3 N p b 2 5 f d G l t Z S Z x d W 9 0 O y w m c X V v d D t f a W 5 k Z X g m c X V v d D s s J n F 1 b 3 Q 7 X 3 B h c m V u d F 9 0 Y W J s Z V 9 u Y W 1 l J n F 1 b 3 Q 7 L C Z x d W 9 0 O 1 9 w Y X J l b n R f a W 5 k Z X g m c X V v d D s s J n F 1 b 3 Q 7 X 3 R h Z 3 M m c X V v d D s s J n F 1 b 3 Q 7 X 2 5 v d G V z J n F 1 b 3 Q 7 X S I g L z 4 8 R W 5 0 c n k g V H l w Z T 0 i R m l s b E N v b H V t b l R 5 c G V z I i B W Y W x 1 Z T 0 i c 0 J n Q U F B Q U 1 H Q X d B Q S I g L z 4 8 R W 5 0 c n k g V H l w Z T 0 i R m l s b E x h c 3 R V c G R h d G V k I i B W Y W x 1 Z T 0 i Z D I w M j E t M D U t M D N U M D k 6 N D c 6 M z k u N T Y 5 M D U 5 N F o i I C 8 + P E V u d H J 5 I F R 5 c G U 9 I k Z p b G x F c n J v c k N v d W 5 0 I i B W Y W x 1 Z T 0 i b D A i I C 8 + P E V u d H J 5 I F R 5 c G U 9 I k Z p b G x F c n J v c k N v Z G U i I F Z h b H V l P S J z V W 5 r b m 9 3 b i I g L z 4 8 R W 5 0 c n k g V H l w Z T 0 i U X V l c n l J R C I g V m F s d W U 9 I n M w N T R k Y T g x Z i 0 x M z U z L T Q w Z j g t Y m Y 0 Z C 1 k Z T I w M 2 Y y N D V h O D I i I C 8 + P E V u d H J 5 I F R 5 c G U 9 I k Z p b G x D b 3 V u d C I g V m F s d W U 9 I m w 1 I i A v P j x F b n R y e S B U e X B l P S J S Z W x h d G l v b n N o a X B J b m Z v Q 2 9 u d G F p b m V y I i B W Y W x 1 Z T 0 i c 3 s m c X V v d D t j b 2 x 1 b W 5 D b 3 V u d C Z x d W 9 0 O z o 5 L C Z x d W 9 0 O 2 t l e U N v b H V t b k 5 h b W V z J n F 1 b 3 Q 7 O l t d L C Z x d W 9 0 O 3 F 1 Z X J 5 U m V s Y X R p b 2 5 z a G l w c y Z x d W 9 0 O z p b X S w m c X V v d D t j b 2 x 1 b W 5 J Z G V u d G l 0 a W V z J n F 1 b 3 Q 7 O l s m c X V v d D t T Z W N 0 a W 9 u M S 9 n c m 9 1 c F 9 J X z U w X 3 N 0 c n V r d F 9 W Z X J h Z W 5 k L 0 d l w 6 R u Z G V y d G V y I F R 5 c C 5 7 Z 3 J v d X B f S V 8 1 M F 9 z d H J 1 a 3 R f V m V y Y W V u Z C 9 J X z U w X 0 J l c 2 N o c m V p Y m V f b 3 J n X 1 Z l c m F l b m R l c i w w f S Z x d W 9 0 O y w m c X V v d D t T Z W N 0 a W 9 u M S 9 n c m 9 1 c F 9 J X z U w X 3 N 0 c n V r d F 9 W Z X J h Z W 5 k L 0 d l w 6 R u Z G V y d G V y I F R 5 c C 5 7 X 2 l k L D F 9 J n F 1 b 3 Q 7 L C Z x d W 9 0 O 1 N l Y 3 R p b 2 4 x L 2 d y b 3 V w X 0 l f N T B f c 3 R y d W t 0 X 1 Z l c m F l b m Q v R 2 X D p G 5 k Z X J 0 Z X I g V H l w L n t f d X V p Z C w y f S Z x d W 9 0 O y w m c X V v d D t T Z W N 0 a W 9 u M S 9 n c m 9 1 c F 9 J X z U w X 3 N 0 c n V r d F 9 W Z X J h Z W 5 k L 0 d l w 6 R u Z G V y d G V y I F R 5 c C 5 7 X 3 N 1 Y m 1 p c 3 N p b 2 5 f d G l t Z S w z f S Z x d W 9 0 O y w m c X V v d D t T Z W N 0 a W 9 u M S 9 n c m 9 1 c F 9 J X z U w X 3 N 0 c n V r d F 9 W Z X J h Z W 5 k L 0 d l w 6 R u Z G V y d G V y I F R 5 c C 5 7 X 2 l u Z G V 4 L D R 9 J n F 1 b 3 Q 7 L C Z x d W 9 0 O 1 N l Y 3 R p b 2 4 x L 2 d y b 3 V w X 0 l f N T B f c 3 R y d W t 0 X 1 Z l c m F l b m Q v R 2 X D p G 5 k Z X J 0 Z X I g V H l w L n t f c G F y Z W 5 0 X 3 R h Y m x l X 2 5 h b W U s N X 0 m c X V v d D s s J n F 1 b 3 Q 7 U 2 V j d G l v b j E v Z 3 J v d X B f S V 8 1 M F 9 z d H J 1 a 3 R f V m V y Y W V u Z C 9 H Z c O k b m R l c n R l c i B U e X A u e 1 9 w Y X J l b n R f a W 5 k Z X g s N n 0 m c X V v d D s s J n F 1 b 3 Q 7 U 2 V j d G l v b j E v Z 3 J v d X B f S V 8 1 M F 9 z d H J 1 a 3 R f V m V y Y W V u Z C 9 H Z c O k b m R l c n R l c i B U e X A u e 1 9 0 Y W d z L D d 9 J n F 1 b 3 Q 7 L C Z x d W 9 0 O 1 N l Y 3 R p b 2 4 x L 2 d y b 3 V w X 0 l f N T B f c 3 R y d W t 0 X 1 Z l c m F l b m Q v R 2 X D p G 5 k Z X J 0 Z X I g V H l w L n t f b m 9 0 Z X M s O H 0 m c X V v d D t d L C Z x d W 9 0 O 0 N v b H V t b k N v d W 5 0 J n F 1 b 3 Q 7 O j k s J n F 1 b 3 Q 7 S 2 V 5 Q 2 9 s d W 1 u T m F t Z X M m c X V v d D s 6 W 1 0 s J n F 1 b 3 Q 7 Q 2 9 s d W 1 u S W R l b n R p d G l l c y Z x d W 9 0 O z p b J n F 1 b 3 Q 7 U 2 V j d G l v b j E v Z 3 J v d X B f S V 8 1 M F 9 z d H J 1 a 3 R f V m V y Y W V u Z C 9 H Z c O k b m R l c n R l c i B U e X A u e 2 d y b 3 V w X 0 l f N T B f c 3 R y d W t 0 X 1 Z l c m F l b m Q v S V 8 1 M F 9 C Z X N j a H J l a W J l X 2 9 y Z 1 9 W Z X J h Z W 5 k Z X I s M H 0 m c X V v d D s s J n F 1 b 3 Q 7 U 2 V j d G l v b j E v Z 3 J v d X B f S V 8 1 M F 9 z d H J 1 a 3 R f V m V y Y W V u Z C 9 H Z c O k b m R l c n R l c i B U e X A u e 1 9 p Z C w x f S Z x d W 9 0 O y w m c X V v d D t T Z W N 0 a W 9 u M S 9 n c m 9 1 c F 9 J X z U w X 3 N 0 c n V r d F 9 W Z X J h Z W 5 k L 0 d l w 6 R u Z G V y d G V y I F R 5 c C 5 7 X 3 V 1 a W Q s M n 0 m c X V v d D s s J n F 1 b 3 Q 7 U 2 V j d G l v b j E v Z 3 J v d X B f S V 8 1 M F 9 z d H J 1 a 3 R f V m V y Y W V u Z C 9 H Z c O k b m R l c n R l c i B U e X A u e 1 9 z d W J t a X N z a W 9 u X 3 R p b W U s M 3 0 m c X V v d D s s J n F 1 b 3 Q 7 U 2 V j d G l v b j E v Z 3 J v d X B f S V 8 1 M F 9 z d H J 1 a 3 R f V m V y Y W V u Z C 9 H Z c O k b m R l c n R l c i B U e X A u e 1 9 p b m R l e C w 0 f S Z x d W 9 0 O y w m c X V v d D t T Z W N 0 a W 9 u M S 9 n c m 9 1 c F 9 J X z U w X 3 N 0 c n V r d F 9 W Z X J h Z W 5 k L 0 d l w 6 R u Z G V y d G V y I F R 5 c C 5 7 X 3 B h c m V u d F 9 0 Y W J s Z V 9 u Y W 1 l L D V 9 J n F 1 b 3 Q 7 L C Z x d W 9 0 O 1 N l Y 3 R p b 2 4 x L 2 d y b 3 V w X 0 l f N T B f c 3 R y d W t 0 X 1 Z l c m F l b m Q v R 2 X D p G 5 k Z X J 0 Z X I g V H l w L n t f c G F y Z W 5 0 X 2 l u Z G V 4 L D Z 9 J n F 1 b 3 Q 7 L C Z x d W 9 0 O 1 N l Y 3 R p b 2 4 x L 2 d y b 3 V w X 0 l f N T B f c 3 R y d W t 0 X 1 Z l c m F l b m Q v R 2 X D p G 5 k Z X J 0 Z X I g V H l w L n t f d G F n c y w 3 f S Z x d W 9 0 O y w m c X V v d D t T Z W N 0 a W 9 u M S 9 n c m 9 1 c F 9 J X z U w X 3 N 0 c n V r d F 9 W Z X J h Z W 5 k L 0 d l w 6 R u Z G V y d G V y I F R 5 c C 5 7 X 2 5 v d G V z L D h 9 J n F 1 b 3 Q 7 X S w m c X V v d D t S Z W x h d G l v b n N o a X B J b m Z v J n F 1 b 3 Q 7 O l t d f S I g L z 4 8 R W 5 0 c n k g V H l w Z T 0 i Q W R k Z W R U b 0 R h d G F N b 2 R l b C I g V m F s d W U 9 I m w w I i A v P j w v U 3 R h Y m x l R W 5 0 c m l l c z 4 8 L 0 l 0 Z W 0 + P E l 0 Z W 0 + P E l 0 Z W 1 M b 2 N h d G l v b j 4 8 S X R l b V R 5 c G U + R m 9 y b X V s Y T w v S X R l b V R 5 c G U + P E l 0 Z W 1 Q Y X R o P l N l Y 3 R p b 2 4 x L 2 d y b 3 V w X 0 l f N T B f c 3 R y d W t 0 X 1 Z l c m F l b m Q v U X V l b G x l P C 9 J d G V t U G F 0 a D 4 8 L 0 l 0 Z W 1 M b 2 N h d G l v b j 4 8 U 3 R h Y m x l R W 5 0 c m l l c y A v P j w v S X R l b T 4 8 S X R l b T 4 8 S X R l b U x v Y 2 F 0 a W 9 u P j x J d G V t V H l w Z T 5 G b 3 J t d W x h P C 9 J d G V t V H l w Z T 4 8 S X R l b V B h d G g + U 2 V j d G l v b j E v Z 3 J v d X B f S V 8 1 M F 9 z d H J 1 a 3 R f V m V y Y W V u Z C 9 n c m 9 1 c F 9 J X z U w X 3 N 0 c n V r d F 9 W Z X J h Z W 5 k X 1 N o Z W V 0 P C 9 J d G V t U G F 0 a D 4 8 L 0 l 0 Z W 1 M b 2 N h d G l v b j 4 8 U 3 R h Y m x l R W 5 0 c m l l c y A v P j w v S X R l b T 4 8 S X R l b T 4 8 S X R l b U x v Y 2 F 0 a W 9 u P j x J d G V t V H l w Z T 5 G b 3 J t d W x h P C 9 J d G V t V H l w Z T 4 8 S X R l b V B h d G g + U 2 V j d G l v b j E v Z 3 J v d X B f S V 8 1 M F 9 z d H J 1 a 3 R f V m V y Y W V u Z C 9 I J U M z J U I 2 a G V y J T I w Z 2 V z d H V m d G U l M j B I Z W F k Z X I 8 L 0 l 0 Z W 1 Q Y X R o P j w v S X R l b U x v Y 2 F 0 a W 9 u P j x T d G F i b G V F b n R y a W V z I C 8 + P C 9 J d G V t P j x J d G V t P j x J d G V t T G 9 j Y X R p b 2 4 + P E l 0 Z W 1 U e X B l P k Z v c m 1 1 b G E 8 L 0 l 0 Z W 1 U e X B l P j x J d G V t U G F 0 a D 5 T Z W N 0 a W 9 u M S 9 n c m 9 1 c F 9 J X z U w X 3 N 0 c n V r d F 9 W Z X J h Z W 5 k L 0 d l J U M z J U E 0 b m R l c n R l c i U y M F R 5 c D w v S X R l b V B h d G g + P C 9 J d G V t T G 9 j Y X R p b 2 4 + P F N 0 Y W J s Z U V u d H J p Z X M g L z 4 8 L 0 l 0 Z W 0 + P E l 0 Z W 0 + P E l 0 Z W 1 M b 2 N h d G l v b j 4 8 S X R l b V R 5 c G U + R m 9 y b X V s Y T w v S X R l b V R 5 c G U + P E l 0 Z W 1 Q Y X R o P l N l Y 3 R p b 2 4 x L 2 d y b 3 V w X 0 l f N T F f V 0 J f Q W R t a W 4 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n c m 9 1 c F 9 J X z U x X 1 d C X 0 F k b W l u I i A v P j x F b n R y e S B U e X B l P S J G a W x s Z W R D b 2 1 w b G V 0 Z V J l c 3 V s d F R v V 2 9 y a 3 N o Z W V 0 I i B W Y W x 1 Z T 0 i b D E i I C 8 + P E V u d H J 5 I F R 5 c G U 9 I k Z p b G x T d G F 0 d X M i I F Z h b H V l P S J z Q 2 9 t c G x l d G U i I C 8 + P E V u d H J 5 I F R 5 c G U 9 I k Z p b G x D b 2 x 1 b W 5 O Y W 1 l c y I g V m F s d W U 9 I n N b J n F 1 b 3 Q 7 Z 3 J v d X B f S V 8 1 M V 9 X Q l 9 B Z G 1 p b i 9 J X z U x Y V 9 C Z X N j a H J l a W J l X 1 d C X 0 F k b W l u X 1 B l c n M m c X V v d D s s J n F 1 b 3 Q 7 Z 3 J v d X B f S V 8 1 M V 9 X Q l 9 B Z G 1 p b i 9 B b n p h a G x f V G F n Z V 9 X Q l 9 D b 2 F j a G l u Z 1 9 J N T E m c X V v d D s s J n F 1 b 3 Q 7 Z 3 J v d X B f S V 8 1 M V 9 X Q l 9 B Z G 1 p b i 9 J X z U x Y l 9 B b n p h a G x f Y m V n X 0 1 h Z W 5 u Z X I m c X V v d D s s J n F 1 b 3 Q 7 Z 3 J v d X B f S V 8 1 M V 9 X Q l 9 B Z G 1 p b i 9 J X z U x Y l 9 B b n p h a G x f Y m V n X 0 Z y Y X V l b i Z x d W 9 0 O y w m c X V v d D t f a W Q m c X V v d D s s J n F 1 b 3 Q 7 X 3 V 1 a W Q m c X V v d D s s J n F 1 b 3 Q 7 X 3 N 1 Y m 1 p c 3 N p b 2 5 f d G l t Z S Z x d W 9 0 O y w m c X V v d D t f a W 5 k Z X g m c X V v d D s s J n F 1 b 3 Q 7 X 3 B h c m V u d F 9 0 Y W J s Z V 9 u Y W 1 l J n F 1 b 3 Q 7 L C Z x d W 9 0 O 1 9 w Y X J l b n R f a W 5 k Z X g m c X V v d D s s J n F 1 b 3 Q 7 X 3 R h Z 3 M m c X V v d D s s J n F 1 b 3 Q 7 X 2 5 v d G V z J n F 1 b 3 Q 7 X S I g L z 4 8 R W 5 0 c n k g V H l w Z T 0 i R m l s b E N v b H V t b l R 5 c G V z I i B W Y W x 1 Z T 0 i c 0 J n T U R B d 0 F B Q U F N R 0 F 3 Q U E i I C 8 + P E V u d H J 5 I F R 5 c G U 9 I k Z p b G x M Y X N 0 V X B k Y X R l Z C I g V m F s d W U 9 I m Q y M D I x L T A 1 L T A z V D A 5 O j Q 3 O j M 5 L j U 1 M z Y 0 M T J a I i A v P j x F b n R y e S B U e X B l P S J G a W x s R X J y b 3 J D b 3 V u d C I g V m F s d W U 9 I m w w I i A v P j x F b n R y e S B U e X B l P S J G a W x s R X J y b 3 J D b 2 R l I i B W Y W x 1 Z T 0 i c 1 V u a 2 5 v d 2 4 i I C 8 + P E V u d H J 5 I F R 5 c G U 9 I l F 1 Z X J 5 S U Q i I F Z h b H V l P S J z M T V m M j Q 3 M j U t N W V h Y i 0 0 Y z I 2 L W F h M j M t Y W U 1 M D N h M D g 1 Y z J m I i A v P j x F b n R y e S B U e X B l P S J G a W x s Q 2 9 1 b n Q i I F Z h b H V l P S J s N C I g L z 4 8 R W 5 0 c n k g V H l w Z T 0 i U m V s Y X R p b 2 5 z a G l w S W 5 m b 0 N v b n R h a W 5 l c i I g V m F s d W U 9 I n N 7 J n F 1 b 3 Q 7 Y 2 9 s d W 1 u Q 2 9 1 b n Q m c X V v d D s 6 M T I s J n F 1 b 3 Q 7 a 2 V 5 Q 2 9 s d W 1 u T m F t Z X M m c X V v d D s 6 W 1 0 s J n F 1 b 3 Q 7 c X V l c n l S Z W x h d G l v b n N o a X B z J n F 1 b 3 Q 7 O l t d L C Z x d W 9 0 O 2 N v b H V t b k l k Z W 5 0 a X R p Z X M m c X V v d D s 6 W y Z x d W 9 0 O 1 N l Y 3 R p b 2 4 x L 2 d y b 3 V w X 0 l f N T F f V 0 J f Q W R t a W 4 v R 2 X D p G 5 k Z X J 0 Z X I g V H l w L n t n c m 9 1 c F 9 J X z U x X 1 d C X 0 F k b W l u L 0 l f N T F h X 0 J l c 2 N o c m V p Y m V f V 0 J f Q W R t a W 5 f U G V y c y w w f S Z x d W 9 0 O y w m c X V v d D t T Z W N 0 a W 9 u M S 9 n c m 9 1 c F 9 J X z U x X 1 d C X 0 F k b W l u L 0 d l w 6 R u Z G V y d G V y I F R 5 c C 5 7 Z 3 J v d X B f S V 8 1 M V 9 X Q l 9 B Z G 1 p b i 9 B b n p h a G x f V G F n Z V 9 X Q l 9 D b 2 F j a G l u Z 1 9 J N T E s M X 0 m c X V v d D s s J n F 1 b 3 Q 7 U 2 V j d G l v b j E v Z 3 J v d X B f S V 8 1 M V 9 X Q l 9 B Z G 1 p b i 9 H Z c O k b m R l c n R l c i B U e X A u e 2 d y b 3 V w X 0 l f N T F f V 0 J f Q W R t a W 4 v S V 8 1 M W J f Q W 5 6 Y W h s X 2 J l Z 1 9 N Y W V u b m V y L D J 9 J n F 1 b 3 Q 7 L C Z x d W 9 0 O 1 N l Y 3 R p b 2 4 x L 2 d y b 3 V w X 0 l f N T F f V 0 J f Q W R t a W 4 v R 2 X D p G 5 k Z X J 0 Z X I g V H l w L n t n c m 9 1 c F 9 J X z U x X 1 d C X 0 F k b W l u L 0 l f N T F i X 0 F u e m F o b F 9 i Z W d f R n J h d W V u L D N 9 J n F 1 b 3 Q 7 L C Z x d W 9 0 O 1 N l Y 3 R p b 2 4 x L 2 d y b 3 V w X 0 l f N T F f V 0 J f Q W R t a W 4 v R 2 X D p G 5 k Z X J 0 Z X I g V H l w L n t f a W Q s N H 0 m c X V v d D s s J n F 1 b 3 Q 7 U 2 V j d G l v b j E v Z 3 J v d X B f S V 8 1 M V 9 X Q l 9 B Z G 1 p b i 9 H Z c O k b m R l c n R l c i B U e X A u e 1 9 1 d W l k L D V 9 J n F 1 b 3 Q 7 L C Z x d W 9 0 O 1 N l Y 3 R p b 2 4 x L 2 d y b 3 V w X 0 l f N T F f V 0 J f Q W R t a W 4 v R 2 X D p G 5 k Z X J 0 Z X I g V H l w L n t f c 3 V i b W l z c 2 l v b l 9 0 a W 1 l L D Z 9 J n F 1 b 3 Q 7 L C Z x d W 9 0 O 1 N l Y 3 R p b 2 4 x L 2 d y b 3 V w X 0 l f N T F f V 0 J f Q W R t a W 4 v R 2 X D p G 5 k Z X J 0 Z X I g V H l w L n t f a W 5 k Z X g s N 3 0 m c X V v d D s s J n F 1 b 3 Q 7 U 2 V j d G l v b j E v Z 3 J v d X B f S V 8 1 M V 9 X Q l 9 B Z G 1 p b i 9 H Z c O k b m R l c n R l c i B U e X A u e 1 9 w Y X J l b n R f d G F i b G V f b m F t Z S w 4 f S Z x d W 9 0 O y w m c X V v d D t T Z W N 0 a W 9 u M S 9 n c m 9 1 c F 9 J X z U x X 1 d C X 0 F k b W l u L 0 d l w 6 R u Z G V y d G V y I F R 5 c C 5 7 X 3 B h c m V u d F 9 p b m R l e C w 5 f S Z x d W 9 0 O y w m c X V v d D t T Z W N 0 a W 9 u M S 9 n c m 9 1 c F 9 J X z U x X 1 d C X 0 F k b W l u L 0 d l w 6 R u Z G V y d G V y I F R 5 c C 5 7 X 3 R h Z 3 M s M T B 9 J n F 1 b 3 Q 7 L C Z x d W 9 0 O 1 N l Y 3 R p b 2 4 x L 2 d y b 3 V w X 0 l f N T F f V 0 J f Q W R t a W 4 v R 2 X D p G 5 k Z X J 0 Z X I g V H l w L n t f b m 9 0 Z X M s M T F 9 J n F 1 b 3 Q 7 X S w m c X V v d D t D b 2 x 1 b W 5 D b 3 V u d C Z x d W 9 0 O z o x M i w m c X V v d D t L Z X l D b 2 x 1 b W 5 O Y W 1 l c y Z x d W 9 0 O z p b X S w m c X V v d D t D b 2 x 1 b W 5 J Z G V u d G l 0 a W V z J n F 1 b 3 Q 7 O l s m c X V v d D t T Z W N 0 a W 9 u M S 9 n c m 9 1 c F 9 J X z U x X 1 d C X 0 F k b W l u L 0 d l w 6 R u Z G V y d G V y I F R 5 c C 5 7 Z 3 J v d X B f S V 8 1 M V 9 X Q l 9 B Z G 1 p b i 9 J X z U x Y V 9 C Z X N j a H J l a W J l X 1 d C X 0 F k b W l u X 1 B l c n M s M H 0 m c X V v d D s s J n F 1 b 3 Q 7 U 2 V j d G l v b j E v Z 3 J v d X B f S V 8 1 M V 9 X Q l 9 B Z G 1 p b i 9 H Z c O k b m R l c n R l c i B U e X A u e 2 d y b 3 V w X 0 l f N T F f V 0 J f Q W R t a W 4 v Q W 5 6 Y W h s X 1 R h Z 2 V f V 0 J f Q 2 9 h Y 2 h p b m d f S T U x L D F 9 J n F 1 b 3 Q 7 L C Z x d W 9 0 O 1 N l Y 3 R p b 2 4 x L 2 d y b 3 V w X 0 l f N T F f V 0 J f Q W R t a W 4 v R 2 X D p G 5 k Z X J 0 Z X I g V H l w L n t n c m 9 1 c F 9 J X z U x X 1 d C X 0 F k b W l u L 0 l f N T F i X 0 F u e m F o b F 9 i Z W d f T W F l b m 5 l c i w y f S Z x d W 9 0 O y w m c X V v d D t T Z W N 0 a W 9 u M S 9 n c m 9 1 c F 9 J X z U x X 1 d C X 0 F k b W l u L 0 d l w 6 R u Z G V y d G V y I F R 5 c C 5 7 Z 3 J v d X B f S V 8 1 M V 9 X Q l 9 B Z G 1 p b i 9 J X z U x Y l 9 B b n p h a G x f Y m V n X 0 Z y Y X V l b i w z f S Z x d W 9 0 O y w m c X V v d D t T Z W N 0 a W 9 u M S 9 n c m 9 1 c F 9 J X z U x X 1 d C X 0 F k b W l u L 0 d l w 6 R u Z G V y d G V y I F R 5 c C 5 7 X 2 l k L D R 9 J n F 1 b 3 Q 7 L C Z x d W 9 0 O 1 N l Y 3 R p b 2 4 x L 2 d y b 3 V w X 0 l f N T F f V 0 J f Q W R t a W 4 v R 2 X D p G 5 k Z X J 0 Z X I g V H l w L n t f d X V p Z C w 1 f S Z x d W 9 0 O y w m c X V v d D t T Z W N 0 a W 9 u M S 9 n c m 9 1 c F 9 J X z U x X 1 d C X 0 F k b W l u L 0 d l w 6 R u Z G V y d G V y I F R 5 c C 5 7 X 3 N 1 Y m 1 p c 3 N p b 2 5 f d G l t Z S w 2 f S Z x d W 9 0 O y w m c X V v d D t T Z W N 0 a W 9 u M S 9 n c m 9 1 c F 9 J X z U x X 1 d C X 0 F k b W l u L 0 d l w 6 R u Z G V y d G V y I F R 5 c C 5 7 X 2 l u Z G V 4 L D d 9 J n F 1 b 3 Q 7 L C Z x d W 9 0 O 1 N l Y 3 R p b 2 4 x L 2 d y b 3 V w X 0 l f N T F f V 0 J f Q W R t a W 4 v R 2 X D p G 5 k Z X J 0 Z X I g V H l w L n t f c G F y Z W 5 0 X 3 R h Y m x l X 2 5 h b W U s O H 0 m c X V v d D s s J n F 1 b 3 Q 7 U 2 V j d G l v b j E v Z 3 J v d X B f S V 8 1 M V 9 X Q l 9 B Z G 1 p b i 9 H Z c O k b m R l c n R l c i B U e X A u e 1 9 w Y X J l b n R f a W 5 k Z X g s O X 0 m c X V v d D s s J n F 1 b 3 Q 7 U 2 V j d G l v b j E v Z 3 J v d X B f S V 8 1 M V 9 X Q l 9 B Z G 1 p b i 9 H Z c O k b m R l c n R l c i B U e X A u e 1 9 0 Y W d z L D E w f S Z x d W 9 0 O y w m c X V v d D t T Z W N 0 a W 9 u M S 9 n c m 9 1 c F 9 J X z U x X 1 d C X 0 F k b W l u L 0 d l w 6 R u Z G V y d G V y I F R 5 c C 5 7 X 2 5 v d G V z L D E x f S Z x d W 9 0 O 1 0 s J n F 1 b 3 Q 7 U m V s Y X R p b 2 5 z a G l w S W 5 m b y Z x d W 9 0 O z p b X X 0 i I C 8 + P E V u d H J 5 I F R 5 c G U 9 I k F k Z G V k V G 9 E Y X R h T W 9 k Z W w i I F Z h b H V l P S J s M C I g L z 4 8 L 1 N 0 Y W J s Z U V u d H J p Z X M + P C 9 J d G V t P j x J d G V t P j x J d G V t T G 9 j Y X R p b 2 4 + P E l 0 Z W 1 U e X B l P k Z v c m 1 1 b G E 8 L 0 l 0 Z W 1 U e X B l P j x J d G V t U G F 0 a D 5 T Z W N 0 a W 9 u M S 9 n c m 9 1 c F 9 J X z U x X 1 d C X 0 F k b W l u L 1 F 1 Z W x s Z T w v S X R l b V B h d G g + P C 9 J d G V t T G 9 j Y X R p b 2 4 + P F N 0 Y W J s Z U V u d H J p Z X M g L z 4 8 L 0 l 0 Z W 0 + P E l 0 Z W 0 + P E l 0 Z W 1 M b 2 N h d G l v b j 4 8 S X R l b V R 5 c G U + R m 9 y b X V s Y T w v S X R l b V R 5 c G U + P E l 0 Z W 1 Q Y X R o P l N l Y 3 R p b 2 4 x L 2 d y b 3 V w X 0 l f N T F f V 0 J f Q W R t a W 4 v Z 3 J v d X B f S V 8 1 M V 9 X Q l 9 B Z G 1 p b l 9 T a G V l d D w v S X R l b V B h d G g + P C 9 J d G V t T G 9 j Y X R p b 2 4 + P F N 0 Y W J s Z U V u d H J p Z X M g L z 4 8 L 0 l 0 Z W 0 + P E l 0 Z W 0 + P E l 0 Z W 1 M b 2 N h d G l v b j 4 8 S X R l b V R 5 c G U + R m 9 y b X V s Y T w v S X R l b V R 5 c G U + P E l 0 Z W 1 Q Y X R o P l N l Y 3 R p b 2 4 x L 2 d y b 3 V w X 0 l f N T F f V 0 J f Q W R t a W 4 v S C V D M y V C N m h l c i U y M G d l c 3 R 1 Z n R l J T I w S G V h Z G V y P C 9 J d G V t U G F 0 a D 4 8 L 0 l 0 Z W 1 M b 2 N h d G l v b j 4 8 U 3 R h Y m x l R W 5 0 c m l l c y A v P j w v S X R l b T 4 8 S X R l b T 4 8 S X R l b U x v Y 2 F 0 a W 9 u P j x J d G V t V H l w Z T 5 G b 3 J t d W x h P C 9 J d G V t V H l w Z T 4 8 S X R l b V B h d G g + U 2 V j d G l v b j E v Z 3 J v d X B f S V 8 1 M V 9 X Q l 9 B Z G 1 p b i 9 H Z S V D M y V B N G 5 k Z X J 0 Z X I l M j B U e X A 8 L 0 l 0 Z W 1 Q Y X R o P j w v S X R l b U x v Y 2 F 0 a W 9 u P j x T d G F i b G V F b n R y a W V z I C 8 + P C 9 J d G V t P j x J d G V t P j x J d G V t T G 9 j Y X R p b 2 4 + P E l 0 Z W 1 U e X B l P k Z v c m 1 1 b G E 8 L 0 l 0 Z W 1 U e X B l P j x J d G V t U G F 0 a D 5 T Z W N 0 a W 9 u M S 9 n c m 9 1 c F 9 J X z U y X 1 d C X 0 Z h Y 2 h w Z X J z 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Z 3 J v d X B f S V 8 1 M l 9 X Q l 9 G Y W N o c G V y c y I g L z 4 8 R W 5 0 c n k g V H l w Z T 0 i R m l s b G V k Q 2 9 t c G x l d G V S Z X N 1 b H R U b 1 d v c m t z a G V l d C I g V m F s d W U 9 I m w x I i A v P j x F b n R y e S B U e X B l P S J G a W x s U 3 R h d H V z I i B W Y W x 1 Z T 0 i c 0 N v b X B s Z X R l I i A v P j x F b n R y e S B U e X B l P S J G a W x s Q 2 9 s d W 1 u T m F t Z X M i I F Z h b H V l P S J z W y Z x d W 9 0 O 2 d y b 3 V w X 0 l f N T J f V 0 J f R m F j a H B l c n M v S V 8 1 M m F f Q m V z Y 2 h y Z W l i Z V 9 X Q l 9 G Y W N o c G V y c 2 9 u J n F 1 b 3 Q 7 L C Z x d W 9 0 O 2 d y b 3 V w X 0 l f N T J f V 0 J f R m F j a H B l c n M v Q W 5 6 Y W h s X 1 R h Z 2 V f V 0 J f Q 2 9 h Y 2 h p b m d f S T U y J n F 1 b 3 Q 7 L C Z x d W 9 0 O 2 d y b 3 V w X 0 l f N T J f V 0 J f R m F j a H B l c n M v S V 8 1 M m J f Q W 5 6 Y W h s X 2 J l Z 1 9 N Y W V u b m V y J n F 1 b 3 Q 7 L C Z x d W 9 0 O 2 d y b 3 V w X 0 l f N T J f V 0 J f R m F j a H B l c n M v S V 8 1 M m J f Q W 5 6 Y W h s X 2 J l Z 1 9 G c m F 1 Z W 4 m c X V v d D s s J n F 1 b 3 Q 7 X 2 l k J n F 1 b 3 Q 7 L C Z x d W 9 0 O 1 9 1 d W l k J n F 1 b 3 Q 7 L C Z x d W 9 0 O 1 9 z d W J t a X N z a W 9 u X 3 R p b W U m c X V v d D s s J n F 1 b 3 Q 7 X 2 l u Z G V 4 J n F 1 b 3 Q 7 L C Z x d W 9 0 O 1 9 w Y X J l b n R f d G F i b G V f b m F t Z S Z x d W 9 0 O y w m c X V v d D t f c G F y Z W 5 0 X 2 l u Z G V 4 J n F 1 b 3 Q 7 L C Z x d W 9 0 O 1 9 0 Y W d z J n F 1 b 3 Q 7 L C Z x d W 9 0 O 1 9 u b 3 R l c y Z x d W 9 0 O 1 0 i I C 8 + P E V u d H J 5 I F R 5 c G U 9 I k Z p b G x D b 2 x 1 b W 5 U e X B l c y I g V m F s d W U 9 I n N C Z 0 1 E Q X d B Q U F B T U d B d 0 F B I i A v P j x F b n R y e S B U e X B l P S J G a W x s T G F z d F V w Z G F 0 Z W Q i I F Z h b H V l P S J k M j A y M S 0 w N S 0 w M 1 Q w O T o 0 N z o z O C 4 0 M T M 5 M z g y W i I g L z 4 8 R W 5 0 c n k g V H l w Z T 0 i R m l s b E V y c m 9 y Q 2 9 1 b n Q i I F Z h b H V l P S J s M C I g L z 4 8 R W 5 0 c n k g V H l w Z T 0 i R m l s b E V y c m 9 y Q 2 9 k Z S I g V m F s d W U 9 I n N V b m t u b 3 d u I i A v P j x F b n R y e S B U e X B l P S J R d W V y e U l E I i B W Y W x 1 Z T 0 i c z B h Y W Q 4 N m M 5 L T g z Z D c t N D g 4 M S 1 h Z D Q 0 L T Z l Z W Q x M j E 1 Y z k 1 M i I g L z 4 8 R W 5 0 c n k g V H l w Z T 0 i R m l s b E N v d W 5 0 I i B W Y W x 1 Z T 0 i b D M i I C 8 + P E V u d H J 5 I F R 5 c G U 9 I l J l b G F 0 a W 9 u c 2 h p c E l u Z m 9 D b 2 5 0 Y W l u Z X I i I F Z h b H V l P S J z e y Z x d W 9 0 O 2 N v b H V t b k N v d W 5 0 J n F 1 b 3 Q 7 O j E y L C Z x d W 9 0 O 2 t l e U N v b H V t b k 5 h b W V z J n F 1 b 3 Q 7 O l t d L C Z x d W 9 0 O 3 F 1 Z X J 5 U m V s Y X R p b 2 5 z a G l w c y Z x d W 9 0 O z p b X S w m c X V v d D t j b 2 x 1 b W 5 J Z G V u d G l 0 a W V z J n F 1 b 3 Q 7 O l s m c X V v d D t T Z W N 0 a W 9 u M S 9 n c m 9 1 c F 9 J X z U y X 1 d C X 0 Z h Y 2 h w Z X J z L 0 d l w 6 R u Z G V y d G V y I F R 5 c C 5 7 Z 3 J v d X B f S V 8 1 M l 9 X Q l 9 G Y W N o c G V y c y 9 J X z U y Y V 9 C Z X N j a H J l a W J l X 1 d C X 0 Z h Y 2 h w Z X J z b 2 4 s M H 0 m c X V v d D s s J n F 1 b 3 Q 7 U 2 V j d G l v b j E v Z 3 J v d X B f S V 8 1 M l 9 X Q l 9 G Y W N o c G V y c y 9 H Z c O k b m R l c n R l c i B U e X A u e 2 d y b 3 V w X 0 l f N T J f V 0 J f R m F j a H B l c n M v Q W 5 6 Y W h s X 1 R h Z 2 V f V 0 J f Q 2 9 h Y 2 h p b m d f S T U y L D F 9 J n F 1 b 3 Q 7 L C Z x d W 9 0 O 1 N l Y 3 R p b 2 4 x L 2 d y b 3 V w X 0 l f N T J f V 0 J f R m F j a H B l c n M v R 2 X D p G 5 k Z X J 0 Z X I g V H l w L n t n c m 9 1 c F 9 J X z U y X 1 d C X 0 Z h Y 2 h w Z X J z L 0 l f N T J i X 0 F u e m F o b F 9 i Z W d f T W F l b m 5 l c i w y f S Z x d W 9 0 O y w m c X V v d D t T Z W N 0 a W 9 u M S 9 n c m 9 1 c F 9 J X z U y X 1 d C X 0 Z h Y 2 h w Z X J z L 0 d l w 6 R u Z G V y d G V y I F R 5 c C 5 7 Z 3 J v d X B f S V 8 1 M l 9 X Q l 9 G Y W N o c G V y c y 9 J X z U y Y l 9 B b n p h a G x f Y m V n X 0 Z y Y X V l b i w z f S Z x d W 9 0 O y w m c X V v d D t T Z W N 0 a W 9 u M S 9 n c m 9 1 c F 9 J X z U y X 1 d C X 0 Z h Y 2 h w Z X J z L 0 d l w 6 R u Z G V y d G V y I F R 5 c C 5 7 X 2 l k L D R 9 J n F 1 b 3 Q 7 L C Z x d W 9 0 O 1 N l Y 3 R p b 2 4 x L 2 d y b 3 V w X 0 l f N T J f V 0 J f R m F j a H B l c n M v R 2 X D p G 5 k Z X J 0 Z X I g V H l w L n t f d X V p Z C w 1 f S Z x d W 9 0 O y w m c X V v d D t T Z W N 0 a W 9 u M S 9 n c m 9 1 c F 9 J X z U y X 1 d C X 0 Z h Y 2 h w Z X J z L 0 d l w 6 R u Z G V y d G V y I F R 5 c C 5 7 X 3 N 1 Y m 1 p c 3 N p b 2 5 f d G l t Z S w 2 f S Z x d W 9 0 O y w m c X V v d D t T Z W N 0 a W 9 u M S 9 n c m 9 1 c F 9 J X z U y X 1 d C X 0 Z h Y 2 h w Z X J z L 0 d l w 6 R u Z G V y d G V y I F R 5 c C 5 7 X 2 l u Z G V 4 L D d 9 J n F 1 b 3 Q 7 L C Z x d W 9 0 O 1 N l Y 3 R p b 2 4 x L 2 d y b 3 V w X 0 l f N T J f V 0 J f R m F j a H B l c n M v R 2 X D p G 5 k Z X J 0 Z X I g V H l w L n t f c G F y Z W 5 0 X 3 R h Y m x l X 2 5 h b W U s O H 0 m c X V v d D s s J n F 1 b 3 Q 7 U 2 V j d G l v b j E v Z 3 J v d X B f S V 8 1 M l 9 X Q l 9 G Y W N o c G V y c y 9 H Z c O k b m R l c n R l c i B U e X A u e 1 9 w Y X J l b n R f a W 5 k Z X g s O X 0 m c X V v d D s s J n F 1 b 3 Q 7 U 2 V j d G l v b j E v Z 3 J v d X B f S V 8 1 M l 9 X Q l 9 G Y W N o c G V y c y 9 H Z c O k b m R l c n R l c i B U e X A u e 1 9 0 Y W d z L D E w f S Z x d W 9 0 O y w m c X V v d D t T Z W N 0 a W 9 u M S 9 n c m 9 1 c F 9 J X z U y X 1 d C X 0 Z h Y 2 h w Z X J z L 0 d l w 6 R u Z G V y d G V y I F R 5 c C 5 7 X 2 5 v d G V z L D E x f S Z x d W 9 0 O 1 0 s J n F 1 b 3 Q 7 Q 2 9 s d W 1 u Q 2 9 1 b n Q m c X V v d D s 6 M T I s J n F 1 b 3 Q 7 S 2 V 5 Q 2 9 s d W 1 u T m F t Z X M m c X V v d D s 6 W 1 0 s J n F 1 b 3 Q 7 Q 2 9 s d W 1 u S W R l b n R p d G l l c y Z x d W 9 0 O z p b J n F 1 b 3 Q 7 U 2 V j d G l v b j E v Z 3 J v d X B f S V 8 1 M l 9 X Q l 9 G Y W N o c G V y c y 9 H Z c O k b m R l c n R l c i B U e X A u e 2 d y b 3 V w X 0 l f N T J f V 0 J f R m F j a H B l c n M v S V 8 1 M m F f Q m V z Y 2 h y Z W l i Z V 9 X Q l 9 G Y W N o c G V y c 2 9 u L D B 9 J n F 1 b 3 Q 7 L C Z x d W 9 0 O 1 N l Y 3 R p b 2 4 x L 2 d y b 3 V w X 0 l f N T J f V 0 J f R m F j a H B l c n M v R 2 X D p G 5 k Z X J 0 Z X I g V H l w L n t n c m 9 1 c F 9 J X z U y X 1 d C X 0 Z h Y 2 h w Z X J z L 0 F u e m F o b F 9 U Y W d l X 1 d C X 0 N v Y W N o a W 5 n X 0 k 1 M i w x f S Z x d W 9 0 O y w m c X V v d D t T Z W N 0 a W 9 u M S 9 n c m 9 1 c F 9 J X z U y X 1 d C X 0 Z h Y 2 h w Z X J z L 0 d l w 6 R u Z G V y d G V y I F R 5 c C 5 7 Z 3 J v d X B f S V 8 1 M l 9 X Q l 9 G Y W N o c G V y c y 9 J X z U y Y l 9 B b n p h a G x f Y m V n X 0 1 h Z W 5 u Z X I s M n 0 m c X V v d D s s J n F 1 b 3 Q 7 U 2 V j d G l v b j E v Z 3 J v d X B f S V 8 1 M l 9 X Q l 9 G Y W N o c G V y c y 9 H Z c O k b m R l c n R l c i B U e X A u e 2 d y b 3 V w X 0 l f N T J f V 0 J f R m F j a H B l c n M v S V 8 1 M m J f Q W 5 6 Y W h s X 2 J l Z 1 9 G c m F 1 Z W 4 s M 3 0 m c X V v d D s s J n F 1 b 3 Q 7 U 2 V j d G l v b j E v Z 3 J v d X B f S V 8 1 M l 9 X Q l 9 G Y W N o c G V y c y 9 H Z c O k b m R l c n R l c i B U e X A u e 1 9 p Z C w 0 f S Z x d W 9 0 O y w m c X V v d D t T Z W N 0 a W 9 u M S 9 n c m 9 1 c F 9 J X z U y X 1 d C X 0 Z h Y 2 h w Z X J z L 0 d l w 6 R u Z G V y d G V y I F R 5 c C 5 7 X 3 V 1 a W Q s N X 0 m c X V v d D s s J n F 1 b 3 Q 7 U 2 V j d G l v b j E v Z 3 J v d X B f S V 8 1 M l 9 X Q l 9 G Y W N o c G V y c y 9 H Z c O k b m R l c n R l c i B U e X A u e 1 9 z d W J t a X N z a W 9 u X 3 R p b W U s N n 0 m c X V v d D s s J n F 1 b 3 Q 7 U 2 V j d G l v b j E v Z 3 J v d X B f S V 8 1 M l 9 X Q l 9 G Y W N o c G V y c y 9 H Z c O k b m R l c n R l c i B U e X A u e 1 9 p b m R l e C w 3 f S Z x d W 9 0 O y w m c X V v d D t T Z W N 0 a W 9 u M S 9 n c m 9 1 c F 9 J X z U y X 1 d C X 0 Z h Y 2 h w Z X J z L 0 d l w 6 R u Z G V y d G V y I F R 5 c C 5 7 X 3 B h c m V u d F 9 0 Y W J s Z V 9 u Y W 1 l L D h 9 J n F 1 b 3 Q 7 L C Z x d W 9 0 O 1 N l Y 3 R p b 2 4 x L 2 d y b 3 V w X 0 l f N T J f V 0 J f R m F j a H B l c n M v R 2 X D p G 5 k Z X J 0 Z X I g V H l w L n t f c G F y Z W 5 0 X 2 l u Z G V 4 L D l 9 J n F 1 b 3 Q 7 L C Z x d W 9 0 O 1 N l Y 3 R p b 2 4 x L 2 d y b 3 V w X 0 l f N T J f V 0 J f R m F j a H B l c n M v R 2 X D p G 5 k Z X J 0 Z X I g V H l w L n t f d G F n c y w x M H 0 m c X V v d D s s J n F 1 b 3 Q 7 U 2 V j d G l v b j E v Z 3 J v d X B f S V 8 1 M l 9 X Q l 9 G Y W N o c G V y c y 9 H Z c O k b m R l c n R l c i B U e X A u e 1 9 u b 3 R l c y w x M X 0 m c X V v d D t d L C Z x d W 9 0 O 1 J l b G F 0 a W 9 u c 2 h p c E l u Z m 8 m c X V v d D s 6 W 1 1 9 I i A v P j x F b n R y e S B U e X B l P S J B Z G R l Z F R v R G F 0 Y U 1 v Z G V s I i B W Y W x 1 Z T 0 i b D A i I C 8 + P C 9 T d G F i b G V F b n R y a W V z P j w v S X R l b T 4 8 S X R l b T 4 8 S X R l b U x v Y 2 F 0 a W 9 u P j x J d G V t V H l w Z T 5 G b 3 J t d W x h P C 9 J d G V t V H l w Z T 4 8 S X R l b V B h d G g + U 2 V j d G l v b j E v Z 3 J v d X B f S V 8 1 M l 9 X Q l 9 G Y W N o c G V y c y 9 R d W V s b G U 8 L 0 l 0 Z W 1 Q Y X R o P j w v S X R l b U x v Y 2 F 0 a W 9 u P j x T d G F i b G V F b n R y a W V z I C 8 + P C 9 J d G V t P j x J d G V t P j x J d G V t T G 9 j Y X R p b 2 4 + P E l 0 Z W 1 U e X B l P k Z v c m 1 1 b G E 8 L 0 l 0 Z W 1 U e X B l P j x J d G V t U G F 0 a D 5 T Z W N 0 a W 9 u M S 9 n c m 9 1 c F 9 J X z U y X 1 d C X 0 Z h Y 2 h w Z X J z L 2 d y b 3 V w X 0 l f N T J f V 0 J f R m F j a H B l c n N f U 2 h l Z X Q 8 L 0 l 0 Z W 1 Q Y X R o P j w v S X R l b U x v Y 2 F 0 a W 9 u P j x T d G F i b G V F b n R y a W V z I C 8 + P C 9 J d G V t P j x J d G V t P j x J d G V t T G 9 j Y X R p b 2 4 + P E l 0 Z W 1 U e X B l P k Z v c m 1 1 b G E 8 L 0 l 0 Z W 1 U e X B l P j x J d G V t U G F 0 a D 5 T Z W N 0 a W 9 u M S 9 n c m 9 1 c F 9 J X z U y X 1 d C X 0 Z h Y 2 h w Z X J z L 0 g l Q z M l Q j Z o Z X I l M j B n Z X N 0 d W Z 0 Z S U y M E h l Y W R l c j w v S X R l b V B h d G g + P C 9 J d G V t T G 9 j Y X R p b 2 4 + P F N 0 Y W J s Z U V u d H J p Z X M g L z 4 8 L 0 l 0 Z W 0 + P E l 0 Z W 0 + P E l 0 Z W 1 M b 2 N h d G l v b j 4 8 S X R l b V R 5 c G U + R m 9 y b X V s Y T w v S X R l b V R 5 c G U + P E l 0 Z W 1 Q Y X R o P l N l Y 3 R p b 2 4 x L 2 d y b 3 V w X 0 l f N T J f V 0 J f R m F j a H B l c n M v R 2 U l Q z M l Q T R u Z G V y d G V y J T I w V H l w P C 9 J d G V t U G F 0 a D 4 8 L 0 l 0 Z W 1 M b 2 N h d G l v b j 4 8 U 3 R h Y m x l R W 5 0 c m l l c y A v P j w v S X R l b T 4 8 S X R l b T 4 8 S X R l b U x v Y 2 F 0 a W 9 u P j x J d G V t V H l w Z T 5 G b 3 J t d W x h P C 9 J d G V t V H l w Z T 4 8 S X R l b V B h d G g + U 2 V j d G l v b j E v Z 3 J v d X B f S V 8 1 M 1 9 J b m Z y Y X N 0 c n V r d H V y 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Z 3 J v d X B f S V 8 1 M 1 9 J b m Z y Y X N 0 c n V r d H V y I i A v P j x F b n R y e S B U e X B l P S J G a W x s Z W R D b 2 1 w b G V 0 Z V J l c 3 V s d F R v V 2 9 y a 3 N o Z W V 0 I i B W Y W x 1 Z T 0 i b D E i I C 8 + P E V u d H J 5 I F R 5 c G U 9 I k Z p b G x T d G F 0 d X M i I F Z h b H V l P S J z Q 2 9 t c G x l d G U i I C 8 + P E V u d H J 5 I F R 5 c G U 9 I k Z p b G x D b 2 x 1 b W 5 O Y W 1 l c y I g V m F s d W U 9 I n N b J n F 1 b 3 Q 7 Z 3 J v d X B f S V 8 1 M 1 9 J b m Z y Y X N 0 c n V r d H V y L 0 J l c 2 N o c m V p Y m V f Z G l l X 0 l u d m V z d G l 0 a W 9 u J n F 1 b 3 Q 7 L C Z x d W 9 0 O 2 d y b 3 V w X 0 l f N T N f S W 5 m c m F z d H J 1 a 3 R 1 c i 9 J b n Z l c 3 R p d G l v b l 9 p b l 9 D S E Y m c X V v d D s s J n F 1 b 3 Q 7 X 2 l k J n F 1 b 3 Q 7 L C Z x d W 9 0 O 1 9 1 d W l k J n F 1 b 3 Q 7 L C Z x d W 9 0 O 1 9 z d W J t a X N z a W 9 u X 3 R p b W U m c X V v d D s s J n F 1 b 3 Q 7 X 2 l u Z G V 4 J n F 1 b 3 Q 7 L C Z x d W 9 0 O 1 9 w Y X J l b n R f d G F i b G V f b m F t Z S Z x d W 9 0 O y w m c X V v d D t f c G F y Z W 5 0 X 2 l u Z G V 4 J n F 1 b 3 Q 7 L C Z x d W 9 0 O 1 9 0 Y W d z J n F 1 b 3 Q 7 L C Z x d W 9 0 O 1 9 u b 3 R l c y Z x d W 9 0 O 1 0 i I C 8 + P E V u d H J 5 I F R 5 c G U 9 I k Z p b G x D b 2 x 1 b W 5 U e X B l c y I g V m F s d W U 9 I n N C Z 0 1 B Q U F B R E J n T U F B Q T 0 9 I i A v P j x F b n R y e S B U e X B l P S J G a W x s T G F z d F V w Z G F 0 Z W Q i I F Z h b H V l P S J k M j A y M S 0 w N S 0 w M 1 Q w O T o 0 N z o z O C 4 z O T U 4 M D g 2 W i I g L z 4 8 R W 5 0 c n k g V H l w Z T 0 i R m l s b E V y c m 9 y Q 2 9 1 b n Q i I F Z h b H V l P S J s M C I g L z 4 8 R W 5 0 c n k g V H l w Z T 0 i R m l s b E V y c m 9 y Q 2 9 k Z S I g V m F s d W U 9 I n N V b m t u b 3 d u I i A v P j x F b n R y e S B U e X B l P S J R d W V y e U l E I i B W Y W x 1 Z T 0 i c z U 0 Z T F j Z T V i L T Y z Y m E t N D Q 3 O S 1 i Y T F m L T V m N 2 U 1 Z m Y y Z W Y 0 Z S I g L z 4 8 R W 5 0 c n k g V H l w Z T 0 i R m l s b E N v d W 5 0 I i B W Y W x 1 Z T 0 i b D Q i I C 8 + P E V u d H J 5 I F R 5 c G U 9 I l J l b G F 0 a W 9 u c 2 h p c E l u Z m 9 D b 2 5 0 Y W l u Z X I i I F Z h b H V l P S J z e y Z x d W 9 0 O 2 N v b H V t b k N v d W 5 0 J n F 1 b 3 Q 7 O j E w L C Z x d W 9 0 O 2 t l e U N v b H V t b k 5 h b W V z J n F 1 b 3 Q 7 O l t d L C Z x d W 9 0 O 3 F 1 Z X J 5 U m V s Y X R p b 2 5 z a G l w c y Z x d W 9 0 O z p b X S w m c X V v d D t j b 2 x 1 b W 5 J Z G V u d G l 0 a W V z J n F 1 b 3 Q 7 O l s m c X V v d D t T Z W N 0 a W 9 u M S 9 n c m 9 1 c F 9 J X z U z X 0 l u Z n J h c 3 R y d W t 0 d X I v R 2 X D p G 5 k Z X J 0 Z X I g V H l w L n t n c m 9 1 c F 9 J X z U z X 0 l u Z n J h c 3 R y d W t 0 d X I v Q m V z Y 2 h y Z W l i Z V 9 k a W V f S W 5 2 Z X N 0 a X R p b 2 4 s M H 0 m c X V v d D s s J n F 1 b 3 Q 7 U 2 V j d G l v b j E v Z 3 J v d X B f S V 8 1 M 1 9 J b m Z y Y X N 0 c n V r d H V y L 0 d l w 6 R u Z G V y d G V y I F R 5 c C 5 7 Z 3 J v d X B f S V 8 1 M 1 9 J b m Z y Y X N 0 c n V r d H V y L 0 l u d m V z d G l 0 a W 9 u X 2 l u X 0 N I R i w x f S Z x d W 9 0 O y w m c X V v d D t T Z W N 0 a W 9 u M S 9 n c m 9 1 c F 9 J X z U z X 0 l u Z n J h c 3 R y d W t 0 d X I v R 2 X D p G 5 k Z X J 0 Z X I g V H l w L n t f a W Q s M n 0 m c X V v d D s s J n F 1 b 3 Q 7 U 2 V j d G l v b j E v Z 3 J v d X B f S V 8 1 M 1 9 J b m Z y Y X N 0 c n V r d H V y L 0 d l w 6 R u Z G V y d G V y I F R 5 c C 5 7 X 3 V 1 a W Q s M 3 0 m c X V v d D s s J n F 1 b 3 Q 7 U 2 V j d G l v b j E v Z 3 J v d X B f S V 8 1 M 1 9 J b m Z y Y X N 0 c n V r d H V y L 0 d l w 6 R u Z G V y d G V y I F R 5 c C 5 7 X 3 N 1 Y m 1 p c 3 N p b 2 5 f d G l t Z S w 0 f S Z x d W 9 0 O y w m c X V v d D t T Z W N 0 a W 9 u M S 9 n c m 9 1 c F 9 J X z U z X 0 l u Z n J h c 3 R y d W t 0 d X I v R 2 X D p G 5 k Z X J 0 Z X I g V H l w L n t f a W 5 k Z X g s N X 0 m c X V v d D s s J n F 1 b 3 Q 7 U 2 V j d G l v b j E v Z 3 J v d X B f S V 8 1 M 1 9 J b m Z y Y X N 0 c n V r d H V y L 0 d l w 6 R u Z G V y d G V y I F R 5 c C 5 7 X 3 B h c m V u d F 9 0 Y W J s Z V 9 u Y W 1 l L D Z 9 J n F 1 b 3 Q 7 L C Z x d W 9 0 O 1 N l Y 3 R p b 2 4 x L 2 d y b 3 V w X 0 l f N T N f S W 5 m c m F z d H J 1 a 3 R 1 c i 9 H Z c O k b m R l c n R l c i B U e X A u e 1 9 w Y X J l b n R f a W 5 k Z X g s N 3 0 m c X V v d D s s J n F 1 b 3 Q 7 U 2 V j d G l v b j E v Z 3 J v d X B f S V 8 1 M 1 9 J b m Z y Y X N 0 c n V r d H V y L 0 d l w 6 R u Z G V y d G V y I F R 5 c C 5 7 X 3 R h Z 3 M s O H 0 m c X V v d D s s J n F 1 b 3 Q 7 U 2 V j d G l v b j E v Z 3 J v d X B f S V 8 1 M 1 9 J b m Z y Y X N 0 c n V r d H V y L 0 d l w 6 R u Z G V y d G V y I F R 5 c C 5 7 X 2 5 v d G V z L D l 9 J n F 1 b 3 Q 7 X S w m c X V v d D t D b 2 x 1 b W 5 D b 3 V u d C Z x d W 9 0 O z o x M C w m c X V v d D t L Z X l D b 2 x 1 b W 5 O Y W 1 l c y Z x d W 9 0 O z p b X S w m c X V v d D t D b 2 x 1 b W 5 J Z G V u d G l 0 a W V z J n F 1 b 3 Q 7 O l s m c X V v d D t T Z W N 0 a W 9 u M S 9 n c m 9 1 c F 9 J X z U z X 0 l u Z n J h c 3 R y d W t 0 d X I v R 2 X D p G 5 k Z X J 0 Z X I g V H l w L n t n c m 9 1 c F 9 J X z U z X 0 l u Z n J h c 3 R y d W t 0 d X I v Q m V z Y 2 h y Z W l i Z V 9 k a W V f S W 5 2 Z X N 0 a X R p b 2 4 s M H 0 m c X V v d D s s J n F 1 b 3 Q 7 U 2 V j d G l v b j E v Z 3 J v d X B f S V 8 1 M 1 9 J b m Z y Y X N 0 c n V r d H V y L 0 d l w 6 R u Z G V y d G V y I F R 5 c C 5 7 Z 3 J v d X B f S V 8 1 M 1 9 J b m Z y Y X N 0 c n V r d H V y L 0 l u d m V z d G l 0 a W 9 u X 2 l u X 0 N I R i w x f S Z x d W 9 0 O y w m c X V v d D t T Z W N 0 a W 9 u M S 9 n c m 9 1 c F 9 J X z U z X 0 l u Z n J h c 3 R y d W t 0 d X I v R 2 X D p G 5 k Z X J 0 Z X I g V H l w L n t f a W Q s M n 0 m c X V v d D s s J n F 1 b 3 Q 7 U 2 V j d G l v b j E v Z 3 J v d X B f S V 8 1 M 1 9 J b m Z y Y X N 0 c n V r d H V y L 0 d l w 6 R u Z G V y d G V y I F R 5 c C 5 7 X 3 V 1 a W Q s M 3 0 m c X V v d D s s J n F 1 b 3 Q 7 U 2 V j d G l v b j E v Z 3 J v d X B f S V 8 1 M 1 9 J b m Z y Y X N 0 c n V r d H V y L 0 d l w 6 R u Z G V y d G V y I F R 5 c C 5 7 X 3 N 1 Y m 1 p c 3 N p b 2 5 f d G l t Z S w 0 f S Z x d W 9 0 O y w m c X V v d D t T Z W N 0 a W 9 u M S 9 n c m 9 1 c F 9 J X z U z X 0 l u Z n J h c 3 R y d W t 0 d X I v R 2 X D p G 5 k Z X J 0 Z X I g V H l w L n t f a W 5 k Z X g s N X 0 m c X V v d D s s J n F 1 b 3 Q 7 U 2 V j d G l v b j E v Z 3 J v d X B f S V 8 1 M 1 9 J b m Z y Y X N 0 c n V r d H V y L 0 d l w 6 R u Z G V y d G V y I F R 5 c C 5 7 X 3 B h c m V u d F 9 0 Y W J s Z V 9 u Y W 1 l L D Z 9 J n F 1 b 3 Q 7 L C Z x d W 9 0 O 1 N l Y 3 R p b 2 4 x L 2 d y b 3 V w X 0 l f N T N f S W 5 m c m F z d H J 1 a 3 R 1 c i 9 H Z c O k b m R l c n R l c i B U e X A u e 1 9 w Y X J l b n R f a W 5 k Z X g s N 3 0 m c X V v d D s s J n F 1 b 3 Q 7 U 2 V j d G l v b j E v Z 3 J v d X B f S V 8 1 M 1 9 J b m Z y Y X N 0 c n V r d H V y L 0 d l w 6 R u Z G V y d G V y I F R 5 c C 5 7 X 3 R h Z 3 M s O H 0 m c X V v d D s s J n F 1 b 3 Q 7 U 2 V j d G l v b j E v Z 3 J v d X B f S V 8 1 M 1 9 J b m Z y Y X N 0 c n V r d H V y L 0 d l w 6 R u Z G V y d G V y I F R 5 c C 5 7 X 2 5 v d G V z L D l 9 J n F 1 b 3 Q 7 X S w m c X V v d D t S Z W x h d G l v b n N o a X B J b m Z v J n F 1 b 3 Q 7 O l t d f S I g L z 4 8 R W 5 0 c n k g V H l w Z T 0 i Q W R k Z W R U b 0 R h d G F N b 2 R l b C I g V m F s d W U 9 I m w w I i A v P j w v U 3 R h Y m x l R W 5 0 c m l l c z 4 8 L 0 l 0 Z W 0 + P E l 0 Z W 0 + P E l 0 Z W 1 M b 2 N h d G l v b j 4 8 S X R l b V R 5 c G U + R m 9 y b X V s Y T w v S X R l b V R 5 c G U + P E l 0 Z W 1 Q Y X R o P l N l Y 3 R p b 2 4 x L 2 d y b 3 V w X 0 l f N T N f S W 5 m c m F z d H J 1 a 3 R 1 c i 9 R d W V s b G U 8 L 0 l 0 Z W 1 Q Y X R o P j w v S X R l b U x v Y 2 F 0 a W 9 u P j x T d G F i b G V F b n R y a W V z I C 8 + P C 9 J d G V t P j x J d G V t P j x J d G V t T G 9 j Y X R p b 2 4 + P E l 0 Z W 1 U e X B l P k Z v c m 1 1 b G E 8 L 0 l 0 Z W 1 U e X B l P j x J d G V t U G F 0 a D 5 T Z W N 0 a W 9 u M S 9 n c m 9 1 c F 9 J X z U z X 0 l u Z n J h c 3 R y d W t 0 d X I v Z 3 J v d X B f S V 8 1 M 1 9 J b m Z y Y X N 0 c n V r d H V y X 1 N o Z W V 0 P C 9 J d G V t U G F 0 a D 4 8 L 0 l 0 Z W 1 M b 2 N h d G l v b j 4 8 U 3 R h Y m x l R W 5 0 c m l l c y A v P j w v S X R l b T 4 8 S X R l b T 4 8 S X R l b U x v Y 2 F 0 a W 9 u P j x J d G V t V H l w Z T 5 G b 3 J t d W x h P C 9 J d G V t V H l w Z T 4 8 S X R l b V B h d G g + U 2 V j d G l v b j E v Z 3 J v d X B f S V 8 1 M 1 9 J b m Z y Y X N 0 c n V r d H V y L 0 g l Q z M l Q j Z o Z X I l M j B n Z X N 0 d W Z 0 Z S U y M E h l Y W R l c j w v S X R l b V B h d G g + P C 9 J d G V t T G 9 j Y X R p b 2 4 + P F N 0 Y W J s Z U V u d H J p Z X M g L z 4 8 L 0 l 0 Z W 0 + P E l 0 Z W 0 + P E l 0 Z W 1 M b 2 N h d G l v b j 4 8 S X R l b V R 5 c G U + R m 9 y b X V s Y T w v S X R l b V R 5 c G U + P E l 0 Z W 1 Q Y X R o P l N l Y 3 R p b 2 4 x L 2 d y b 3 V w X 0 l f N T N f S W 5 m c m F z d H J 1 a 3 R 1 c i 9 H Z S V D M y V B N G 5 k Z X J 0 Z X I l M j B U e X A 8 L 0 l 0 Z W 1 Q Y X R o P j w v S X R l b U x v Y 2 F 0 a W 9 u P j x T d G F i b G V F b n R y a W V z I C 8 + P C 9 J d G V t P j x J d G V t P j x J d G V t T G 9 j Y X R p b 2 4 + P E l 0 Z W 1 U e X B l P k Z v c m 1 1 b G E 8 L 0 l 0 Z W 1 U e X B l P j x J d G V t U G F 0 a D 5 T Z W N 0 a W 9 u M S 9 n c m 9 1 c F 9 J X z U 0 X 0 h p b G Z z b W l 0 d G V s 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Z 3 J v d X B f S V 8 1 N F 9 I a W x m c 2 1 p d H R l b C I g L z 4 8 R W 5 0 c n k g V H l w Z T 0 i R m l s b G V k Q 2 9 t c G x l d G V S Z X N 1 b H R U b 1 d v c m t z a G V l d C I g V m F s d W U 9 I m w x I i A v P j x F b n R y e S B U e X B l P S J G a W x s U 3 R h d H V z I i B W Y W x 1 Z T 0 i c 0 N v b X B s Z X R l I i A v P j x F b n R y e S B U e X B l P S J G a W x s Q 2 9 s d W 1 u T m F t Z X M i I F Z h b H V l P S J z W y Z x d W 9 0 O 2 d y b 3 V w X 0 l f N T R f S G l s Z n N t a X R 0 Z W w v S V 8 1 N F 9 B c n R f Z G V y X 0 1 l d G h v Z G V u X 0 h p b G Z z b W l 0 J n F 1 b 3 Q 7 L C Z x d W 9 0 O 1 9 p Z C Z x d W 9 0 O y w m c X V v d D t f d X V p Z C Z x d W 9 0 O y w m c X V v d D t f c 3 V i b W l z c 2 l v b l 9 0 a W 1 l J n F 1 b 3 Q 7 L C Z x d W 9 0 O 1 9 p b m R l e C Z x d W 9 0 O y w m c X V v d D t f c G F y Z W 5 0 X 3 R h Y m x l X 2 5 h b W U m c X V v d D s s J n F 1 b 3 Q 7 X 3 B h c m V u d F 9 p b m R l e C Z x d W 9 0 O y w m c X V v d D t f d G F n c y Z x d W 9 0 O y w m c X V v d D t f b m 9 0 Z X M m c X V v d D t d I i A v P j x F b n R y e S B U e X B l P S J G a W x s Q 2 9 s d W 1 u V H l w Z X M i I F Z h b H V l P S J z Q m d B Q U F B T U d B d 0 F B I i A v P j x F b n R y e S B U e X B l P S J G a W x s T G F z d F V w Z G F 0 Z W Q i I F Z h b H V l P S J k M j A y M S 0 w N S 0 w M 1 Q w O T o 0 N z o z O C 4 z N z U 2 M z U 4 W i I g L z 4 8 R W 5 0 c n k g V H l w Z T 0 i R m l s b E V y c m 9 y Q 2 9 1 b n Q i I F Z h b H V l P S J s M C I g L z 4 8 R W 5 0 c n k g V H l w Z T 0 i R m l s b E V y c m 9 y Q 2 9 k Z S I g V m F s d W U 9 I n N V b m t u b 3 d u I i A v P j x F b n R y e S B U e X B l P S J R d W V y e U l E I i B W Y W x 1 Z T 0 i c 2 V m O W U 2 Y j Y 4 L T A 4 O W I t N D A 1 M S 1 h N m I y L T Y 0 M j Q 2 Y 2 Q 3 O G V i M S I g L z 4 8 R W 5 0 c n k g V H l w Z T 0 i R m l s b E N v d W 5 0 I i B W Y W x 1 Z T 0 i b D Q i I C 8 + P E V u d H J 5 I F R 5 c G U 9 I l J l b G F 0 a W 9 u c 2 h p c E l u Z m 9 D b 2 5 0 Y W l u Z X I i I F Z h b H V l P S J z e y Z x d W 9 0 O 2 N v b H V t b k N v d W 5 0 J n F 1 b 3 Q 7 O j k s J n F 1 b 3 Q 7 a 2 V 5 Q 2 9 s d W 1 u T m F t Z X M m c X V v d D s 6 W 1 0 s J n F 1 b 3 Q 7 c X V l c n l S Z W x h d G l v b n N o a X B z J n F 1 b 3 Q 7 O l t d L C Z x d W 9 0 O 2 N v b H V t b k l k Z W 5 0 a X R p Z X M m c X V v d D s 6 W y Z x d W 9 0 O 1 N l Y 3 R p b 2 4 x L 2 d y b 3 V w X 0 l f N T R f S G l s Z n N t a X R 0 Z W w v R 2 X D p G 5 k Z X J 0 Z X I g V H l w L n t n c m 9 1 c F 9 J X z U 0 X 0 h p b G Z z b W l 0 d G V s L 0 l f N T R f Q X J 0 X 2 R l c l 9 N Z X R o b 2 R l b l 9 I a W x m c 2 1 p d C w w f S Z x d W 9 0 O y w m c X V v d D t T Z W N 0 a W 9 u M S 9 n c m 9 1 c F 9 J X z U 0 X 0 h p b G Z z b W l 0 d G V s L 0 d l w 6 R u Z G V y d G V y I F R 5 c C 5 7 X 2 l k L D F 9 J n F 1 b 3 Q 7 L C Z x d W 9 0 O 1 N l Y 3 R p b 2 4 x L 2 d y b 3 V w X 0 l f N T R f S G l s Z n N t a X R 0 Z W w v R 2 X D p G 5 k Z X J 0 Z X I g V H l w L n t f d X V p Z C w y f S Z x d W 9 0 O y w m c X V v d D t T Z W N 0 a W 9 u M S 9 n c m 9 1 c F 9 J X z U 0 X 0 h p b G Z z b W l 0 d G V s L 0 d l w 6 R u Z G V y d G V y I F R 5 c C 5 7 X 3 N 1 Y m 1 p c 3 N p b 2 5 f d G l t Z S w z f S Z x d W 9 0 O y w m c X V v d D t T Z W N 0 a W 9 u M S 9 n c m 9 1 c F 9 J X z U 0 X 0 h p b G Z z b W l 0 d G V s L 0 d l w 6 R u Z G V y d G V y I F R 5 c C 5 7 X 2 l u Z G V 4 L D R 9 J n F 1 b 3 Q 7 L C Z x d W 9 0 O 1 N l Y 3 R p b 2 4 x L 2 d y b 3 V w X 0 l f N T R f S G l s Z n N t a X R 0 Z W w v R 2 X D p G 5 k Z X J 0 Z X I g V H l w L n t f c G F y Z W 5 0 X 3 R h Y m x l X 2 5 h b W U s N X 0 m c X V v d D s s J n F 1 b 3 Q 7 U 2 V j d G l v b j E v Z 3 J v d X B f S V 8 1 N F 9 I a W x m c 2 1 p d H R l b C 9 H Z c O k b m R l c n R l c i B U e X A u e 1 9 w Y X J l b n R f a W 5 k Z X g s N n 0 m c X V v d D s s J n F 1 b 3 Q 7 U 2 V j d G l v b j E v Z 3 J v d X B f S V 8 1 N F 9 I a W x m c 2 1 p d H R l b C 9 H Z c O k b m R l c n R l c i B U e X A u e 1 9 0 Y W d z L D d 9 J n F 1 b 3 Q 7 L C Z x d W 9 0 O 1 N l Y 3 R p b 2 4 x L 2 d y b 3 V w X 0 l f N T R f S G l s Z n N t a X R 0 Z W w v R 2 X D p G 5 k Z X J 0 Z X I g V H l w L n t f b m 9 0 Z X M s O H 0 m c X V v d D t d L C Z x d W 9 0 O 0 N v b H V t b k N v d W 5 0 J n F 1 b 3 Q 7 O j k s J n F 1 b 3 Q 7 S 2 V 5 Q 2 9 s d W 1 u T m F t Z X M m c X V v d D s 6 W 1 0 s J n F 1 b 3 Q 7 Q 2 9 s d W 1 u S W R l b n R p d G l l c y Z x d W 9 0 O z p b J n F 1 b 3 Q 7 U 2 V j d G l v b j E v Z 3 J v d X B f S V 8 1 N F 9 I a W x m c 2 1 p d H R l b C 9 H Z c O k b m R l c n R l c i B U e X A u e 2 d y b 3 V w X 0 l f N T R f S G l s Z n N t a X R 0 Z W w v S V 8 1 N F 9 B c n R f Z G V y X 0 1 l d G h v Z G V u X 0 h p b G Z z b W l 0 L D B 9 J n F 1 b 3 Q 7 L C Z x d W 9 0 O 1 N l Y 3 R p b 2 4 x L 2 d y b 3 V w X 0 l f N T R f S G l s Z n N t a X R 0 Z W w v R 2 X D p G 5 k Z X J 0 Z X I g V H l w L n t f a W Q s M X 0 m c X V v d D s s J n F 1 b 3 Q 7 U 2 V j d G l v b j E v Z 3 J v d X B f S V 8 1 N F 9 I a W x m c 2 1 p d H R l b C 9 H Z c O k b m R l c n R l c i B U e X A u e 1 9 1 d W l k L D J 9 J n F 1 b 3 Q 7 L C Z x d W 9 0 O 1 N l Y 3 R p b 2 4 x L 2 d y b 3 V w X 0 l f N T R f S G l s Z n N t a X R 0 Z W w v R 2 X D p G 5 k Z X J 0 Z X I g V H l w L n t f c 3 V i b W l z c 2 l v b l 9 0 a W 1 l L D N 9 J n F 1 b 3 Q 7 L C Z x d W 9 0 O 1 N l Y 3 R p b 2 4 x L 2 d y b 3 V w X 0 l f N T R f S G l s Z n N t a X R 0 Z W w v R 2 X D p G 5 k Z X J 0 Z X I g V H l w L n t f a W 5 k Z X g s N H 0 m c X V v d D s s J n F 1 b 3 Q 7 U 2 V j d G l v b j E v Z 3 J v d X B f S V 8 1 N F 9 I a W x m c 2 1 p d H R l b C 9 H Z c O k b m R l c n R l c i B U e X A u e 1 9 w Y X J l b n R f d G F i b G V f b m F t Z S w 1 f S Z x d W 9 0 O y w m c X V v d D t T Z W N 0 a W 9 u M S 9 n c m 9 1 c F 9 J X z U 0 X 0 h p b G Z z b W l 0 d G V s L 0 d l w 6 R u Z G V y d G V y I F R 5 c C 5 7 X 3 B h c m V u d F 9 p b m R l e C w 2 f S Z x d W 9 0 O y w m c X V v d D t T Z W N 0 a W 9 u M S 9 n c m 9 1 c F 9 J X z U 0 X 0 h p b G Z z b W l 0 d G V s L 0 d l w 6 R u Z G V y d G V y I F R 5 c C 5 7 X 3 R h Z 3 M s N 3 0 m c X V v d D s s J n F 1 b 3 Q 7 U 2 V j d G l v b j E v Z 3 J v d X B f S V 8 1 N F 9 I a W x m c 2 1 p d H R l b C 9 H Z c O k b m R l c n R l c i B U e X A u e 1 9 u b 3 R l c y w 4 f S Z x d W 9 0 O 1 0 s J n F 1 b 3 Q 7 U m V s Y X R p b 2 5 z a G l w S W 5 m b y Z x d W 9 0 O z p b X X 0 i I C 8 + P E V u d H J 5 I F R 5 c G U 9 I k F k Z G V k V G 9 E Y X R h T W 9 k Z W w i I F Z h b H V l P S J s M C I g L z 4 8 L 1 N 0 Y W J s Z U V u d H J p Z X M + P C 9 J d G V t P j x J d G V t P j x J d G V t T G 9 j Y X R p b 2 4 + P E l 0 Z W 1 U e X B l P k Z v c m 1 1 b G E 8 L 0 l 0 Z W 1 U e X B l P j x J d G V t U G F 0 a D 5 T Z W N 0 a W 9 u M S 9 n c m 9 1 c F 9 J X z U 0 X 0 h p b G Z z b W l 0 d G V s L 1 F 1 Z W x s Z T w v S X R l b V B h d G g + P C 9 J d G V t T G 9 j Y X R p b 2 4 + P F N 0 Y W J s Z U V u d H J p Z X M g L z 4 8 L 0 l 0 Z W 0 + P E l 0 Z W 0 + P E l 0 Z W 1 M b 2 N h d G l v b j 4 8 S X R l b V R 5 c G U + R m 9 y b X V s Y T w v S X R l b V R 5 c G U + P E l 0 Z W 1 Q Y X R o P l N l Y 3 R p b 2 4 x L 2 d y b 3 V w X 0 l f N T R f S G l s Z n N t a X R 0 Z W w v Z 3 J v d X B f S V 8 1 N F 9 I a W x m c 2 1 p d H R l b F 9 T a G V l d D w v S X R l b V B h d G g + P C 9 J d G V t T G 9 j Y X R p b 2 4 + P F N 0 Y W J s Z U V u d H J p Z X M g L z 4 8 L 0 l 0 Z W 0 + P E l 0 Z W 0 + P E l 0 Z W 1 M b 2 N h d G l v b j 4 8 S X R l b V R 5 c G U + R m 9 y b X V s Y T w v S X R l b V R 5 c G U + P E l 0 Z W 1 Q Y X R o P l N l Y 3 R p b 2 4 x L 2 d y b 3 V w X 0 l f N T R f S G l s Z n N t a X R 0 Z W w v S C V D M y V C N m h l c i U y M G d l c 3 R 1 Z n R l J T I w S G V h Z G V y P C 9 J d G V t U G F 0 a D 4 8 L 0 l 0 Z W 1 M b 2 N h d G l v b j 4 8 U 3 R h Y m x l R W 5 0 c m l l c y A v P j w v S X R l b T 4 8 S X R l b T 4 8 S X R l b U x v Y 2 F 0 a W 9 u P j x J d G V t V H l w Z T 5 G b 3 J t d W x h P C 9 J d G V t V H l w Z T 4 8 S X R l b V B h d G g + U 2 V j d G l v b j E v Z 3 J v d X B f S V 8 1 N F 9 I a W x m c 2 1 p d H R l b C 9 H Z S V D M y V B N G 5 k Z X J 0 Z X I l M j B U e X A 8 L 0 l 0 Z W 1 Q Y X R o P j w v S X R l b U x v Y 2 F 0 a W 9 u P j x T d G F i b G V F b n R y a W V z I C 8 + P C 9 J d G V t P j x J d G V t P j x J d G V t T G 9 j Y X R p b 2 4 + P E l 0 Z W 1 U e X B l P k Z v c m 1 1 b G E 8 L 0 l 0 Z W 1 U e X B l P j x J d G V t U G F 0 a D 5 T Z W N 0 a W 9 u M S 9 n c m 9 1 c F 9 J X z c w X 0 F u e l 9 L b 2 5 0 Y W t 0 Z 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2 d y b 3 V w X 0 l f N z B f Q W 5 6 X 0 t v b n R h a 3 R l I i A v P j x F b n R y e S B U e X B l P S J G a W x s Z W R D b 2 1 w b G V 0 Z V J l c 3 V s d F R v V 2 9 y a 3 N o Z W V 0 I i B W Y W x 1 Z T 0 i b D E i I C 8 + P E V u d H J 5 I F R 5 c G U 9 I k Z p b G x T d G F 0 d X M i I F Z h b H V l P S J z Q 2 9 t c G x l d G U i I C 8 + P E V u d H J 5 I F R 5 c G U 9 I k Z p b G x D b 2 x 1 b W 5 O Y W 1 l c y I g V m F s d W U 9 I n N b J n F 1 b 3 Q 7 Z 3 J v d X B f S V 8 3 M F 9 B b n p f S 2 9 u d G F r d G U v S V 8 3 M F 9 L b 2 5 0 Y W t 0 X 1 N 5 c 3 R l b W V i Z W 5 l J n F 1 b 3 Q 7 L C Z x d W 9 0 O 2 d y b 3 V w X 0 l f N z B f Q W 5 6 X 0 t v b n R h a 3 R l L 0 l f N z B f Q X J 0 X 2 R l c l 9 P c m d h b m l z Y X R p b 2 4 m c X V v d D s s J n F 1 b 3 Q 7 Z 3 J v d X B f S V 8 3 M F 9 B b n p f S 2 9 u d G F r d G U v S V 8 3 M F 9 X Y W 5 u X 2 h h d F 9 k Z X J f S 2 9 u d G F r d F 9 z d G F 0 d G d l Z n V u Z G V u J n F 1 b 3 Q 7 L C Z x d W 9 0 O 2 d y b 3 V w X 0 l f N z B f Q W 5 6 X 0 t v b n R h a 3 R l L 0 l f N z B f R 3 J 1 b m R f b 1 9 S Z X N 1 b H R h d F 9 k Z X N f S 2 9 u d C Z x d W 9 0 O y w m c X V v d D t f a W Q m c X V v d D s s J n F 1 b 3 Q 7 X 3 V 1 a W Q m c X V v d D s s J n F 1 b 3 Q 7 X 3 N 1 Y m 1 p c 3 N p b 2 5 f d G l t Z S Z x d W 9 0 O y w m c X V v d D t f a W 5 k Z X g m c X V v d D s s J n F 1 b 3 Q 7 X 3 B h c m V u d F 9 0 Y W J s Z V 9 u Y W 1 l J n F 1 b 3 Q 7 L C Z x d W 9 0 O 1 9 w Y X J l b n R f a W 5 k Z X g m c X V v d D s s J n F 1 b 3 Q 7 X 3 R h Z 3 M m c X V v d D s s J n F 1 b 3 Q 7 X 2 5 v d G V z J n F 1 b 3 Q 7 X S I g L z 4 8 R W 5 0 c n k g V H l w Z T 0 i R m l s b E N v b H V t b l R 5 c G V z I i B W Y W x 1 Z T 0 i c 0 J n W U R C Z 0 F B Q U F N R 0 F 3 Q U E i I C 8 + P E V u d H J 5 I F R 5 c G U 9 I k Z p b G x M Y X N 0 V X B k Y X R l Z C I g V m F s d W U 9 I m Q y M D I x L T A 1 L T A z V D A 5 O j Q 3 O j M 4 L j M 1 N T Q 5 N z R a I i A v P j x F b n R y e S B U e X B l P S J G a W x s R X J y b 3 J D b 3 V u d C I g V m F s d W U 9 I m w w I i A v P j x F b n R y e S B U e X B l P S J G a W x s R X J y b 3 J D b 2 R l I i B W Y W x 1 Z T 0 i c 1 V u a 2 5 v d 2 4 i I C 8 + P E V u d H J 5 I F R 5 c G U 9 I l F 1 Z X J 5 S U Q i I F Z h b H V l P S J z N T F k N z J l Z T g t N m U 1 O S 0 0 Z j c y L T l l M j A t Y j h l Y W F l Y m Y z Z T B l I i A v P j x F b n R y e S B U e X B l P S J G a W x s Q 2 9 1 b n Q i I F Z h b H V l P S J s N C I g L z 4 8 R W 5 0 c n k g V H l w Z T 0 i U m V s Y X R p b 2 5 z a G l w S W 5 m b 0 N v b n R h a W 5 l c i I g V m F s d W U 9 I n N 7 J n F 1 b 3 Q 7 Y 2 9 s d W 1 u Q 2 9 1 b n Q m c X V v d D s 6 M T I s J n F 1 b 3 Q 7 a 2 V 5 Q 2 9 s d W 1 u T m F t Z X M m c X V v d D s 6 W 1 0 s J n F 1 b 3 Q 7 c X V l c n l S Z W x h d G l v b n N o a X B z J n F 1 b 3 Q 7 O l t d L C Z x d W 9 0 O 2 N v b H V t b k l k Z W 5 0 a X R p Z X M m c X V v d D s 6 W y Z x d W 9 0 O 1 N l Y 3 R p b 2 4 x L 2 d y b 3 V w X 0 l f N z B f Q W 5 6 X 0 t v b n R h a 3 R l L 0 d l w 6 R u Z G V y d G V y I F R 5 c C 5 7 Z 3 J v d X B f S V 8 3 M F 9 B b n p f S 2 9 u d G F r d G U v S V 8 3 M F 9 L b 2 5 0 Y W t 0 X 1 N 5 c 3 R l b W V i Z W 5 l L D B 9 J n F 1 b 3 Q 7 L C Z x d W 9 0 O 1 N l Y 3 R p b 2 4 x L 2 d y b 3 V w X 0 l f N z B f Q W 5 6 X 0 t v b n R h a 3 R l L 0 d l w 6 R u Z G V y d G V y I F R 5 c C 5 7 Z 3 J v d X B f S V 8 3 M F 9 B b n p f S 2 9 u d G F r d G U v S V 8 3 M F 9 B c n R f Z G V y X 0 9 y Z 2 F u a X N h d G l v b i w x f S Z x d W 9 0 O y w m c X V v d D t T Z W N 0 a W 9 u M S 9 n c m 9 1 c F 9 J X z c w X 0 F u e l 9 L b 2 5 0 Y W t 0 Z S 9 H Z c O k b m R l c n R l c i B U e X A u e 2 d y b 3 V w X 0 l f N z B f Q W 5 6 X 0 t v b n R h a 3 R l L 0 l f N z B f V 2 F u b l 9 o Y X R f Z G V y X 0 t v b n R h a 3 R f c 3 R h d H R n Z W Z 1 b m R l b i w y f S Z x d W 9 0 O y w m c X V v d D t T Z W N 0 a W 9 u M S 9 n c m 9 1 c F 9 J X z c w X 0 F u e l 9 L b 2 5 0 Y W t 0 Z S 9 H Z c O k b m R l c n R l c i B U e X A u e 2 d y b 3 V w X 0 l f N z B f Q W 5 6 X 0 t v b n R h a 3 R l L 0 l f N z B f R 3 J 1 b m R f b 1 9 S Z X N 1 b H R h d F 9 k Z X N f S 2 9 u d C w z f S Z x d W 9 0 O y w m c X V v d D t T Z W N 0 a W 9 u M S 9 n c m 9 1 c F 9 J X z c w X 0 F u e l 9 L b 2 5 0 Y W t 0 Z S 9 H Z c O k b m R l c n R l c i B U e X A u e 1 9 p Z C w 0 f S Z x d W 9 0 O y w m c X V v d D t T Z W N 0 a W 9 u M S 9 n c m 9 1 c F 9 J X z c w X 0 F u e l 9 L b 2 5 0 Y W t 0 Z S 9 H Z c O k b m R l c n R l c i B U e X A u e 1 9 1 d W l k L D V 9 J n F 1 b 3 Q 7 L C Z x d W 9 0 O 1 N l Y 3 R p b 2 4 x L 2 d y b 3 V w X 0 l f N z B f Q W 5 6 X 0 t v b n R h a 3 R l L 0 d l w 6 R u Z G V y d G V y I F R 5 c C 5 7 X 3 N 1 Y m 1 p c 3 N p b 2 5 f d G l t Z S w 2 f S Z x d W 9 0 O y w m c X V v d D t T Z W N 0 a W 9 u M S 9 n c m 9 1 c F 9 J X z c w X 0 F u e l 9 L b 2 5 0 Y W t 0 Z S 9 H Z c O k b m R l c n R l c i B U e X A u e 1 9 p b m R l e C w 3 f S Z x d W 9 0 O y w m c X V v d D t T Z W N 0 a W 9 u M S 9 n c m 9 1 c F 9 J X z c w X 0 F u e l 9 L b 2 5 0 Y W t 0 Z S 9 H Z c O k b m R l c n R l c i B U e X A u e 1 9 w Y X J l b n R f d G F i b G V f b m F t Z S w 4 f S Z x d W 9 0 O y w m c X V v d D t T Z W N 0 a W 9 u M S 9 n c m 9 1 c F 9 J X z c w X 0 F u e l 9 L b 2 5 0 Y W t 0 Z S 9 H Z c O k b m R l c n R l c i B U e X A u e 1 9 w Y X J l b n R f a W 5 k Z X g s O X 0 m c X V v d D s s J n F 1 b 3 Q 7 U 2 V j d G l v b j E v Z 3 J v d X B f S V 8 3 M F 9 B b n p f S 2 9 u d G F r d G U v R 2 X D p G 5 k Z X J 0 Z X I g V H l w L n t f d G F n c y w x M H 0 m c X V v d D s s J n F 1 b 3 Q 7 U 2 V j d G l v b j E v Z 3 J v d X B f S V 8 3 M F 9 B b n p f S 2 9 u d G F r d G U v R 2 X D p G 5 k Z X J 0 Z X I g V H l w L n t f b m 9 0 Z X M s M T F 9 J n F 1 b 3 Q 7 X S w m c X V v d D t D b 2 x 1 b W 5 D b 3 V u d C Z x d W 9 0 O z o x M i w m c X V v d D t L Z X l D b 2 x 1 b W 5 O Y W 1 l c y Z x d W 9 0 O z p b X S w m c X V v d D t D b 2 x 1 b W 5 J Z G V u d G l 0 a W V z J n F 1 b 3 Q 7 O l s m c X V v d D t T Z W N 0 a W 9 u M S 9 n c m 9 1 c F 9 J X z c w X 0 F u e l 9 L b 2 5 0 Y W t 0 Z S 9 H Z c O k b m R l c n R l c i B U e X A u e 2 d y b 3 V w X 0 l f N z B f Q W 5 6 X 0 t v b n R h a 3 R l L 0 l f N z B f S 2 9 u d G F r d F 9 T e X N 0 Z W 1 l Y m V u Z S w w f S Z x d W 9 0 O y w m c X V v d D t T Z W N 0 a W 9 u M S 9 n c m 9 1 c F 9 J X z c w X 0 F u e l 9 L b 2 5 0 Y W t 0 Z S 9 H Z c O k b m R l c n R l c i B U e X A u e 2 d y b 3 V w X 0 l f N z B f Q W 5 6 X 0 t v b n R h a 3 R l L 0 l f N z B f Q X J 0 X 2 R l c l 9 P c m d h b m l z Y X R p b 2 4 s M X 0 m c X V v d D s s J n F 1 b 3 Q 7 U 2 V j d G l v b j E v Z 3 J v d X B f S V 8 3 M F 9 B b n p f S 2 9 u d G F r d G U v R 2 X D p G 5 k Z X J 0 Z X I g V H l w L n t n c m 9 1 c F 9 J X z c w X 0 F u e l 9 L b 2 5 0 Y W t 0 Z S 9 J X z c w X 1 d h b m 5 f a G F 0 X 2 R l c l 9 L b 2 5 0 Y W t 0 X 3 N 0 Y X R 0 Z 2 V m d W 5 k Z W 4 s M n 0 m c X V v d D s s J n F 1 b 3 Q 7 U 2 V j d G l v b j E v Z 3 J v d X B f S V 8 3 M F 9 B b n p f S 2 9 u d G F r d G U v R 2 X D p G 5 k Z X J 0 Z X I g V H l w L n t n c m 9 1 c F 9 J X z c w X 0 F u e l 9 L b 2 5 0 Y W t 0 Z S 9 J X z c w X 0 d y d W 5 k X 2 9 f U m V z d W x 0 Y X R f Z G V z X 0 t v b n Q s M 3 0 m c X V v d D s s J n F 1 b 3 Q 7 U 2 V j d G l v b j E v Z 3 J v d X B f S V 8 3 M F 9 B b n p f S 2 9 u d G F r d G U v R 2 X D p G 5 k Z X J 0 Z X I g V H l w L n t f a W Q s N H 0 m c X V v d D s s J n F 1 b 3 Q 7 U 2 V j d G l v b j E v Z 3 J v d X B f S V 8 3 M F 9 B b n p f S 2 9 u d G F r d G U v R 2 X D p G 5 k Z X J 0 Z X I g V H l w L n t f d X V p Z C w 1 f S Z x d W 9 0 O y w m c X V v d D t T Z W N 0 a W 9 u M S 9 n c m 9 1 c F 9 J X z c w X 0 F u e l 9 L b 2 5 0 Y W t 0 Z S 9 H Z c O k b m R l c n R l c i B U e X A u e 1 9 z d W J t a X N z a W 9 u X 3 R p b W U s N n 0 m c X V v d D s s J n F 1 b 3 Q 7 U 2 V j d G l v b j E v Z 3 J v d X B f S V 8 3 M F 9 B b n p f S 2 9 u d G F r d G U v R 2 X D p G 5 k Z X J 0 Z X I g V H l w L n t f a W 5 k Z X g s N 3 0 m c X V v d D s s J n F 1 b 3 Q 7 U 2 V j d G l v b j E v Z 3 J v d X B f S V 8 3 M F 9 B b n p f S 2 9 u d G F r d G U v R 2 X D p G 5 k Z X J 0 Z X I g V H l w L n t f c G F y Z W 5 0 X 3 R h Y m x l X 2 5 h b W U s O H 0 m c X V v d D s s J n F 1 b 3 Q 7 U 2 V j d G l v b j E v Z 3 J v d X B f S V 8 3 M F 9 B b n p f S 2 9 u d G F r d G U v R 2 X D p G 5 k Z X J 0 Z X I g V H l w L n t f c G F y Z W 5 0 X 2 l u Z G V 4 L D l 9 J n F 1 b 3 Q 7 L C Z x d W 9 0 O 1 N l Y 3 R p b 2 4 x L 2 d y b 3 V w X 0 l f N z B f Q W 5 6 X 0 t v b n R h a 3 R l L 0 d l w 6 R u Z G V y d G V y I F R 5 c C 5 7 X 3 R h Z 3 M s M T B 9 J n F 1 b 3 Q 7 L C Z x d W 9 0 O 1 N l Y 3 R p b 2 4 x L 2 d y b 3 V w X 0 l f N z B f Q W 5 6 X 0 t v b n R h a 3 R l L 0 d l w 6 R u Z G V y d G V y I F R 5 c C 5 7 X 2 5 v d G V z L D E x f S Z x d W 9 0 O 1 0 s J n F 1 b 3 Q 7 U m V s Y X R p b 2 5 z a G l w S W 5 m b y Z x d W 9 0 O z p b X X 0 i I C 8 + P E V u d H J 5 I F R 5 c G U 9 I k F k Z G V k V G 9 E Y X R h T W 9 k Z W w i I F Z h b H V l P S J s M C I g L z 4 8 L 1 N 0 Y W J s Z U V u d H J p Z X M + P C 9 J d G V t P j x J d G V t P j x J d G V t T G 9 j Y X R p b 2 4 + P E l 0 Z W 1 U e X B l P k Z v c m 1 1 b G E 8 L 0 l 0 Z W 1 U e X B l P j x J d G V t U G F 0 a D 5 T Z W N 0 a W 9 u M S 9 n c m 9 1 c F 9 J X z c w X 0 F u e l 9 L b 2 5 0 Y W t 0 Z S 9 R d W V s b G U 8 L 0 l 0 Z W 1 Q Y X R o P j w v S X R l b U x v Y 2 F 0 a W 9 u P j x T d G F i b G V F b n R y a W V z I C 8 + P C 9 J d G V t P j x J d G V t P j x J d G V t T G 9 j Y X R p b 2 4 + P E l 0 Z W 1 U e X B l P k Z v c m 1 1 b G E 8 L 0 l 0 Z W 1 U e X B l P j x J d G V t U G F 0 a D 5 T Z W N 0 a W 9 u M S 9 n c m 9 1 c F 9 J X z c w X 0 F u e l 9 L b 2 5 0 Y W t 0 Z S 9 n c m 9 1 c F 9 J X z c w X 0 F u e l 9 L b 2 5 0 Y W t 0 Z V 9 T a G V l d D w v S X R l b V B h d G g + P C 9 J d G V t T G 9 j Y X R p b 2 4 + P F N 0 Y W J s Z U V u d H J p Z X M g L z 4 8 L 0 l 0 Z W 0 + P E l 0 Z W 0 + P E l 0 Z W 1 M b 2 N h d G l v b j 4 8 S X R l b V R 5 c G U + R m 9 y b X V s Y T w v S X R l b V R 5 c G U + P E l 0 Z W 1 Q Y X R o P l N l Y 3 R p b 2 4 x L 2 d y b 3 V w X 0 l f N z B f Q W 5 6 X 0 t v b n R h a 3 R l L 0 g l Q z M l Q j Z o Z X I l M j B n Z X N 0 d W Z 0 Z S U y M E h l Y W R l c j w v S X R l b V B h d G g + P C 9 J d G V t T G 9 j Y X R p b 2 4 + P F N 0 Y W J s Z U V u d H J p Z X M g L z 4 8 L 0 l 0 Z W 0 + P E l 0 Z W 0 + P E l 0 Z W 1 M b 2 N h d G l v b j 4 8 S X R l b V R 5 c G U + R m 9 y b X V s Y T w v S X R l b V R 5 c G U + P E l 0 Z W 1 Q Y X R o P l N l Y 3 R p b 2 4 x L 2 d y b 3 V w X 0 l f N z B f Q W 5 6 X 0 t v b n R h a 3 R l L 0 d l J U M z J U E 0 b m R l c n R l c i U y M F R 5 c D w v S X R l b V B h d G g + P C 9 J d G V t T G 9 j Y X R p b 2 4 + P F N 0 Y W J s Z U V u d H J p Z X M g L z 4 8 L 0 l 0 Z W 0 + P E l 0 Z W 0 + P E l 0 Z W 1 M b 2 N h d G l v b j 4 8 S X R l b V R 5 c G U + R m 9 y b X V s Y T w v S X R l b V R 5 c G U + P E l 0 Z W 1 Q Y X R o P l N l Y 3 R p b 2 4 x L 0 h h d X B 0 d G F i Z W x s Z 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0 h h d X B 0 d G F i Z W x s Z S I g L z 4 8 R W 5 0 c n k g V H l w Z T 0 i R m l s b G V k Q 2 9 t c G x l d G V S Z X N 1 b H R U b 1 d v c m t z a G V l d C I g V m F s d W U 9 I m w x I i A v P j x F b n R y e S B U e X B l P S J G a W x s R X J y b 3 J D b 2 R l I i B W Y W x 1 Z T 0 i c 1 V u a 2 5 v d 2 4 i I C 8 + P E V u d H J 5 I F R 5 c G U 9 I k Z p b G x F c n J v c k N v d W 5 0 I i B W Y W x 1 Z T 0 i b D A i I C 8 + P E V u d H J 5 I F R 5 c G U 9 I k Z p b G x M Y X N 0 V X B k Y X R l Z C I g V m F s d W U 9 I m Q y M D I x L T A 1 L T A z V D A 5 O j Q 3 O j M 4 L j Q 3 N j U w N T d a I i A v P j x F b n R y e S B U e X B l P S J G a W x s Q 2 9 s d W 1 u V H l w Z X M i I F Z h b H V l P S J z Q 0 F n R 0 J n W U d C Z 1 l C Q V F F Q k F R R U J B U U V C Q V F F Q k F R R U J B d 1 l H Q X d N R 0 J n W U F B Q V l H Q X d N R 0 F 3 T U d C Z 1 l H Q m d Z R 0 F 3 W U h B d 0 F E Q m d Z P S I g L z 4 8 R W 5 0 c n k g V H l w Z T 0 i R m l s b E N v b H V t b k 5 h b W V z I i B W Y W x 1 Z T 0 i c 1 s m c X V v d D t z d G F y d C Z x d W 9 0 O y w m c X V v d D t l b m Q m c X V v d D s s J n F 1 b 3 Q 7 T m F t Z S Z x d W 9 0 O y w m c X V v d D t M Y W 5 k J n F 1 b 3 Q 7 L C Z x d W 9 0 O 1 B y b 2 p l a 3 Q m c X V v d D s s J n F 1 b 3 Q 7 V G V p b H B y b 2 p l a 3 Q m c X V v d D s s J n F 1 b 3 Q 7 U 2 N o d 2 V y c H V u a 3 Q m c X V v d D s s J n F 1 b 3 Q 7 V 2 F l a G x l X 0 l u Z G l r Y X R v c i Z x d W 9 0 O y w m c X V v d D t X Y W V o b G V f S W 5 k a W t h d G 9 y L 0 l f M T B h J n F 1 b 3 Q 7 L C Z x d W 9 0 O 1 d h Z W h s Z V 9 J b m R p a 2 F 0 b 3 I v S V 8 x M G I m c X V v d D s s J n F 1 b 3 Q 7 V 2 F l a G x l X 0 l u Z G l r Y X R v c i 9 J X z E w Y y Z x d W 9 0 O y w m c X V v d D t X Y W V o b G V f S W 5 k a W t h d G 9 y L 0 l f M j A m c X V v d D s s J n F 1 b 3 Q 7 V 2 F l a G x l X 0 l u Z G l r Y X R v c i 9 J X z I x J n F 1 b 3 Q 7 L C Z x d W 9 0 O 1 d h Z W h s Z V 9 J b m R p a 2 F 0 b 3 I v S V 8 z M C Z x d W 9 0 O y w m c X V v d D t X Y W V o b G V f S W 5 k a W t h d G 9 y L 0 l f N D A m c X V v d D s s J n F 1 b 3 Q 7 V 2 F l a G x l X 0 l u Z G l r Y X R v c i 9 J X z Q x J n F 1 b 3 Q 7 L C Z x d W 9 0 O 1 d h Z W h s Z V 9 J b m R p a 2 F 0 b 3 I v S V 8 1 M C Z x d W 9 0 O y w m c X V v d D t X Y W V o b G V f S W 5 k a W t h d G 9 y L 0 l f N T E m c X V v d D s s J n F 1 b 3 Q 7 V 2 F l a G x l X 0 l u Z G l r Y X R v c i 9 J X z U y J n F 1 b 3 Q 7 L C Z x d W 9 0 O 1 d h Z W h s Z V 9 J b m R p a 2 F 0 b 3 I v S V 8 1 M y Z x d W 9 0 O y w m c X V v d D t X Y W V o b G V f S W 5 k a W t h d G 9 y L 0 l f N T Q m c X V v d D s s J n F 1 b 3 Q 7 V 2 F l a G x l X 0 l u Z G l r Y X R v c i 9 J X z Y w J n F 1 b 3 Q 7 L C Z x d W 9 0 O 1 d h Z W h s Z V 9 J b m R p a 2 F 0 b 3 I v S V 8 2 M S Z x d W 9 0 O y w m c X V v d D t X Y W V o b G V f S W 5 k a W t h d G 9 y L 0 l f N z A m c X V v d D s s J n F 1 b 3 Q 7 S V 8 x M G F f W n V u Y W h t Z V 9 F a W d l b m Z p b m F u e m l l c n V u J n F 1 b 3 Q 7 L C Z x d W 9 0 O 2 d y b 3 V w X 0 l f M T B i X 1 B l c n N v b m V s b G V f Q W J o Y W V u Z y 9 J X z E w Y l 9 B Y m 5 h a G 1 l X 3 B l c n N f Q W J o Y W V u Z 2 l n a 2 U m c X V v d D s s J n F 1 b 3 Q 7 Z 3 J v d X B f S V 8 x M G J f U G V y c 2 9 u Z W x s Z V 9 B Y m h h Z W 5 n L 1 Z l c m F u d H d v c n R 1 b m d f d W V i Z X J u b 2 1 t Z W 4 m c X V v d D s s J n F 1 b 3 Q 7 Z 3 J v d X B f S V 8 y M F 9 W Z X J h b n R 3 X 3 V l Y m V y b m 9 t b W V u L 0 F u e m F o b F 9 K d W 5 n Z W 5 f T W F l b m 5 l c l 9 J M j A m c X V v d D s s J n F 1 b 3 Q 7 Z 3 J v d X B f S V 8 y M F 9 W Z X J h b n R 3 X 3 V l Y m V y b m 9 t b W V u L 0 F u e m F o b F 9 N Y W V k Y 2 h l b l 9 G c m F 1 Z W 5 f S T I w J n F 1 b 3 Q 7 L C Z x d W 9 0 O 2 d y b 3 V w X 0 l f M j B f V m V y Y W 5 0 d 1 9 1 Z W J l c m 5 v b W 1 l b i 9 W Z X J h Z W 5 k Z X J 1 b m d f Y m V p X 0 J l Z 3 V l b n N 0 a W d 0 Z W 4 m c X V v d D s s J n F 1 b 3 Q 7 Z 3 J v d X B f S V 8 y M F 9 W Z X J h b n R 3 X 3 V l Y m V y b m 9 t b W V u L 0 V y e m F l a G x l X 0 d l c 2 N o a W N o d G U m c X V v d D s s J n F 1 b 3 Q 7 Z 3 J v d X B f S V 8 y M V 9 s Z W J l b n N 2 X 0 V u d H d p Y 2 t s d W 5 n L 0 d l c 2 N o a W N o d G V f b G V i Z W 5 z d l 9 F c m Z h a H J 1 b m c m c X V v d D s s J n F 1 b 3 Q 7 Z 3 J v d X B f S V 8 y M V 9 s Z W J l b n N 2 X 0 V u d H d p Y 2 t s d W 5 n L 0 Z v d G 9 f a G 9 j a G x h Z G V u J n F 1 b 3 Q 7 L C Z x d W 9 0 O 2 d y b 3 V w X 0 l f M j F f b G V i Z W 5 z d l 9 F b n R 3 a W N r b H V u Z y 9 6 d 2 V p d G V z X 1 B o b 3 R v J n F 1 b 3 Q 7 L C Z x d W 9 0 O 0 l f M z B f V m V y Y W V u Z G V y d W 5 n X 1 N 5 c 3 R l b S Z x d W 9 0 O y w m c X V v d D t n c m 9 1 c F 9 J X z Y w X 0 J l Z 3 V l b n N 0 a W d 0 Z S 9 C Z W d 1 Z W 5 z d G l n d G U m c X V v d D s s J n F 1 b 3 Q 7 Z 3 J v d X B f S V 8 2 M F 9 C Z W d 1 Z W 5 z d G l n d G U v Q W 5 6 Y W h s X 0 p 1 b m d l b l 9 N Y W V u b m V y X 0 k 2 M C Z x d W 9 0 O y w m c X V v d D t n c m 9 1 c F 9 J X z Y w X 0 J l Z 3 V l b n N 0 a W d 0 Z S 9 B b n p h a G x f T W F l Z G N o Z W 5 f R n J h d W V u X 0 k 2 M C Z x d W 9 0 O y w m c X V v d D t n c m 9 1 c F 9 J X z Y x X 2 d l a X N 0 b G l j a F 9 C Z W d 1 Z W 5 z d G k v S V 8 2 M V 9 B c n R f Z G V y X 0 J l Z 3 V l b n N 0 a W d 1 b m c m c X V v d D s s J n F 1 b 3 Q 7 Z 3 J v d X B f S V 8 2 M V 9 n Z W l z d G x p Y 2 h f Q m V n d W V u c 3 R p L 0 F u e m F o b F 9 K d W 5 n Z W 5 f T W F l b m 5 l c l 9 J N j E m c X V v d D s s J n F 1 b 3 Q 7 Z 3 J v d X B f S V 8 2 M V 9 n Z W l z d G x p Y 2 h f Q m V n d W V u c 3 R p L 0 F u e m F o b F 9 N Y W V k Y 2 h l b l 9 G c m F 1 Z W 5 f S T Y x J n F 1 b 3 Q 7 L C Z x d W 9 0 O 1 9 f d m V y c 2 l v b l 9 f J n F 1 b 3 Q 7 L C Z x d W 9 0 O 1 9 2 Z X J z a W 9 u X y Z x d W 9 0 O y w m c X V v d D t f d m V y c 2 l v b l 9 f M D A x J n F 1 b 3 Q 7 L C Z x d W 9 0 O 1 9 2 Z X J z a W 9 u X 1 8 w M D I m c X V v d D s s J n F 1 b 3 Q 7 X 3 Z l c n N p b 2 5 f X z A w M y Z x d W 9 0 O y w m c X V v d D t f d m V y c 2 l v b l 9 f M D A 0 J n F 1 b 3 Q 7 L C Z x d W 9 0 O 2 1 l d G E v a W 5 z d G F u Y 2 V J R C Z x d W 9 0 O y w m c X V v d D t f a W Q m c X V v d D s s J n F 1 b 3 Q 7 X 3 V 1 a W Q m c X V v d D s s J n F 1 b 3 Q 7 X 3 N 1 Y m 1 p c 3 N p b 2 5 f d G l t Z S Z x d W 9 0 O y w m c X V v d D t f a W 5 k Z X g m c X V v d D s s J n F 1 b 3 Q 7 X 3 B h c m V u d F 9 0 Y W J s Z V 9 u Y W 1 l J n F 1 b 3 Q 7 L C Z x d W 9 0 O 1 9 w Y X J l b n R f a W 5 k Z X g m c X V v d D s s J n F 1 b 3 Q 7 X 3 R h Z 3 M m c X V v d D s s J n F 1 b 3 Q 7 X 2 5 v d G V z J n F 1 b 3 Q 7 X S I g L z 4 8 R W 5 0 c n k g V H l w Z T 0 i R m l s b F N 0 Y X R 1 c y I g V m F s d W U 9 I n N D b 2 1 w b G V 0 Z S I g L z 4 8 R W 5 0 c n k g V H l w Z T 0 i U X V l c n l J R C I g V m F s d W U 9 I n M y Y j d j Z W R j Y S 0 w N W Y 5 L T R j N j Y t Y j F k Z i 1 m M D M x Z T B j Z j Y 5 O D E i I C 8 + P E V u d H J 5 I F R 5 c G U 9 I k 5 h d m l n Y X R p b 2 5 T d G V w T m F t Z S I g V m F s d W U 9 I n N O Y X Z p Z 2 F 0 a W 9 u I i A v P j x F b n R y e S B U e X B l P S J G a W x s Q 2 9 1 b n Q i I F Z h b H V l P S J s M j M i I C 8 + P E V u d H J 5 I F R 5 c G U 9 I l J l b G F 0 a W 9 u c 2 h p c E l u Z m 9 D b 2 5 0 Y W l u Z X I i I F Z h b H V l P S J z e y Z x d W 9 0 O 2 N v b H V t b k N v d W 5 0 J n F 1 b 3 Q 7 O j U 2 L C Z x d W 9 0 O 2 t l e U N v b H V t b k 5 h b W V z J n F 1 b 3 Q 7 O l t d L C Z x d W 9 0 O 3 F 1 Z X J 5 U m V s Y X R p b 2 5 z a G l w c y Z x d W 9 0 O z p b X S w m c X V v d D t j b 2 x 1 b W 5 J Z G V u d G l 0 a W V z J n F 1 b 3 Q 7 O l s m c X V v d D t T Z W N 0 a W 9 u M S 9 I Y X V w d H R h Y m V s b G U v R 2 X D p G 5 k Z X J 0 Z X I g V H l w L n t z d G F y d C w w f S Z x d W 9 0 O y w m c X V v d D t T Z W N 0 a W 9 u M S 9 I Y X V w d H R h Y m V s b G U v R 2 X D p G 5 k Z X J 0 Z X I g V H l w L n t l b m Q s M X 0 m c X V v d D s s J n F 1 b 3 Q 7 U 2 V j d G l v b j E v S G F 1 c H R 0 Y W J l b G x l L 0 d l w 6 R u Z G V y d G V y I F R 5 c C 5 7 T m F t Z S w y f S Z x d W 9 0 O y w m c X V v d D t T Z W N 0 a W 9 u M S 9 I Y X V w d H R h Y m V s b G U v R 2 X D p G 5 k Z X J 0 Z X I g V H l w L n t M Y W 5 k L D N 9 J n F 1 b 3 Q 7 L C Z x d W 9 0 O 1 N l Y 3 R p b 2 4 x L 0 h h d X B 0 d G F i Z W x s Z S 9 H Z c O k b m R l c n R l c i B U e X A u e 1 B y b 2 p l a 3 Q s N H 0 m c X V v d D s s J n F 1 b 3 Q 7 U 2 V j d G l v b j E v S G F 1 c H R 0 Y W J l b G x l L 0 d l w 6 R u Z G V y d G V y I F R 5 c C 5 7 V G V p b H B y b 2 p l a 3 Q s N X 0 m c X V v d D s s J n F 1 b 3 Q 7 U 2 V j d G l v b j E v S G F 1 c H R 0 Y W J l b G x l L 0 d l w 6 R u Z G V y d G V y I F R 5 c C 5 7 U 2 N o d 2 V y c H V u a 3 Q s N n 0 m c X V v d D s s J n F 1 b 3 Q 7 U 2 V j d G l v b j E v S G F 1 c H R 0 Y W J l b G x l L 0 d l w 6 R u Z G V y d G V y I F R 5 c C 5 7 V 2 F l a G x l X 0 l u Z G l r Y X R v c i w 3 f S Z x d W 9 0 O y w m c X V v d D t T Z W N 0 a W 9 u M S 9 I Y X V w d H R h Y m V s b G U v R 2 X D p G 5 k Z X J 0 Z X I g V H l w L n t X Y W V o b G V f S W 5 k a W t h d G 9 y L 0 l f M T B h L D h 9 J n F 1 b 3 Q 7 L C Z x d W 9 0 O 1 N l Y 3 R p b 2 4 x L 0 h h d X B 0 d G F i Z W x s Z S 9 H Z c O k b m R l c n R l c i B U e X A u e 1 d h Z W h s Z V 9 J b m R p a 2 F 0 b 3 I v S V 8 x M G I s O X 0 m c X V v d D s s J n F 1 b 3 Q 7 U 2 V j d G l v b j E v S G F 1 c H R 0 Y W J l b G x l L 0 d l w 6 R u Z G V y d G V y I F R 5 c C 5 7 V 2 F l a G x l X 0 l u Z G l r Y X R v c i 9 J X z E w Y y w x M H 0 m c X V v d D s s J n F 1 b 3 Q 7 U 2 V j d G l v b j E v S G F 1 c H R 0 Y W J l b G x l L 0 d l w 6 R u Z G V y d G V y I F R 5 c C 5 7 V 2 F l a G x l X 0 l u Z G l r Y X R v c i 9 J X z I w L D E x f S Z x d W 9 0 O y w m c X V v d D t T Z W N 0 a W 9 u M S 9 I Y X V w d H R h Y m V s b G U v R 2 X D p G 5 k Z X J 0 Z X I g V H l w L n t X Y W V o b G V f S W 5 k a W t h d G 9 y L 0 l f M j E s M T J 9 J n F 1 b 3 Q 7 L C Z x d W 9 0 O 1 N l Y 3 R p b 2 4 x L 0 h h d X B 0 d G F i Z W x s Z S 9 H Z c O k b m R l c n R l c i B U e X A u e 1 d h Z W h s Z V 9 J b m R p a 2 F 0 b 3 I v S V 8 z M C w x M 3 0 m c X V v d D s s J n F 1 b 3 Q 7 U 2 V j d G l v b j E v S G F 1 c H R 0 Y W J l b G x l L 0 d l w 6 R u Z G V y d G V y I F R 5 c C 5 7 V 2 F l a G x l X 0 l u Z G l r Y X R v c i 9 J X z Q w L D E 0 f S Z x d W 9 0 O y w m c X V v d D t T Z W N 0 a W 9 u M S 9 I Y X V w d H R h Y m V s b G U v R 2 X D p G 5 k Z X J 0 Z X I g V H l w L n t X Y W V o b G V f S W 5 k a W t h d G 9 y L 0 l f N D E s M T V 9 J n F 1 b 3 Q 7 L C Z x d W 9 0 O 1 N l Y 3 R p b 2 4 x L 0 h h d X B 0 d G F i Z W x s Z S 9 H Z c O k b m R l c n R l c i B U e X A u e 1 d h Z W h s Z V 9 J b m R p a 2 F 0 b 3 I v S V 8 1 M C w x N n 0 m c X V v d D s s J n F 1 b 3 Q 7 U 2 V j d G l v b j E v S G F 1 c H R 0 Y W J l b G x l L 0 d l w 6 R u Z G V y d G V y I F R 5 c C 5 7 V 2 F l a G x l X 0 l u Z G l r Y X R v c i 9 J X z U x L D E 3 f S Z x d W 9 0 O y w m c X V v d D t T Z W N 0 a W 9 u M S 9 I Y X V w d H R h Y m V s b G U v R 2 X D p G 5 k Z X J 0 Z X I g V H l w L n t X Y W V o b G V f S W 5 k a W t h d G 9 y L 0 l f N T I s M T h 9 J n F 1 b 3 Q 7 L C Z x d W 9 0 O 1 N l Y 3 R p b 2 4 x L 0 h h d X B 0 d G F i Z W x s Z S 9 H Z c O k b m R l c n R l c i B U e X A u e 1 d h Z W h s Z V 9 J b m R p a 2 F 0 b 3 I v S V 8 1 M y w x O X 0 m c X V v d D s s J n F 1 b 3 Q 7 U 2 V j d G l v b j E v S G F 1 c H R 0 Y W J l b G x l L 0 d l w 6 R u Z G V y d G V y I F R 5 c C 5 7 V 2 F l a G x l X 0 l u Z G l r Y X R v c i 9 J X z U 0 L D I w f S Z x d W 9 0 O y w m c X V v d D t T Z W N 0 a W 9 u M S 9 I Y X V w d H R h Y m V s b G U v R 2 X D p G 5 k Z X J 0 Z X I g V H l w L n t X Y W V o b G V f S W 5 k a W t h d G 9 y L 0 l f N j A s M j F 9 J n F 1 b 3 Q 7 L C Z x d W 9 0 O 1 N l Y 3 R p b 2 4 x L 0 h h d X B 0 d G F i Z W x s Z S 9 H Z c O k b m R l c n R l c i B U e X A u e 1 d h Z W h s Z V 9 J b m R p a 2 F 0 b 3 I v S V 8 2 M S w y M n 0 m c X V v d D s s J n F 1 b 3 Q 7 U 2 V j d G l v b j E v S G F 1 c H R 0 Y W J l b G x l L 0 d l w 6 R u Z G V y d G V y I F R 5 c C 5 7 V 2 F l a G x l X 0 l u Z G l r Y X R v c i 9 J X z c w L D I z f S Z x d W 9 0 O y w m c X V v d D t T Z W N 0 a W 9 u M S 9 I Y X V w d H R h Y m V s b G U v R 2 X D p G 5 k Z X J 0 Z X I g V H l w L n t J X z E w Y V 9 a d W 5 h a G 1 l X 0 V p Z 2 V u Z m l u Y W 5 6 a W V y d W 4 s M j R 9 J n F 1 b 3 Q 7 L C Z x d W 9 0 O 1 N l Y 3 R p b 2 4 x L 0 h h d X B 0 d G F i Z W x s Z S 9 H Z c O k b m R l c n R l c i B U e X A u e 2 d y b 3 V w X 0 l f M T B i X 1 B l c n N v b m V s b G V f Q W J o Y W V u Z y 9 J X z E w Y l 9 B Y m 5 h a G 1 l X 3 B l c n N f Q W J o Y W V u Z 2 l n a 2 U s M j V 9 J n F 1 b 3 Q 7 L C Z x d W 9 0 O 1 N l Y 3 R p b 2 4 x L 0 h h d X B 0 d G F i Z W x s Z S 9 H Z c O k b m R l c n R l c i B U e X A u e 2 d y b 3 V w X 0 l f M T B i X 1 B l c n N v b m V s b G V f Q W J o Y W V u Z y 9 W Z X J h b n R 3 b 3 J 0 d W 5 n X 3 V l Y m V y b m 9 t b W V u L D I 2 f S Z x d W 9 0 O y w m c X V v d D t T Z W N 0 a W 9 u M S 9 I Y X V w d H R h Y m V s b G U v R 2 X D p G 5 k Z X J 0 Z X I g V H l w L n t n c m 9 1 c F 9 J X z I w X 1 Z l c m F u d H d f d W V i Z X J u b 2 1 t Z W 4 v Q W 5 6 Y W h s X 0 p 1 b m d l b l 9 N Y W V u b m V y X 0 k y M C w y N 3 0 m c X V v d D s s J n F 1 b 3 Q 7 U 2 V j d G l v b j E v S G F 1 c H R 0 Y W J l b G x l L 0 d l w 6 R u Z G V y d G V y I F R 5 c C 5 7 Z 3 J v d X B f S V 8 y M F 9 W Z X J h b n R 3 X 3 V l Y m V y b m 9 t b W V u L 0 F u e m F o b F 9 N Y W V k Y 2 h l b l 9 G c m F 1 Z W 5 f S T I w L D I 4 f S Z x d W 9 0 O y w m c X V v d D t T Z W N 0 a W 9 u M S 9 I Y X V w d H R h Y m V s b G U v R 2 X D p G 5 k Z X J 0 Z X I g V H l w L n t n c m 9 1 c F 9 J X z I w X 1 Z l c m F u d H d f d W V i Z X J u b 2 1 t Z W 4 v V m V y Y W V u Z G V y d W 5 n X 2 J l a V 9 C Z W d 1 Z W 5 z d G l n d G V u L D I 5 f S Z x d W 9 0 O y w m c X V v d D t T Z W N 0 a W 9 u M S 9 I Y X V w d H R h Y m V s b G U v R 2 X D p G 5 k Z X J 0 Z X I g V H l w L n t n c m 9 1 c F 9 J X z I w X 1 Z l c m F u d H d f d W V i Z X J u b 2 1 t Z W 4 v R X J 6 Y W V o b G V f R 2 V z Y 2 h p Y 2 h 0 Z S w z M H 0 m c X V v d D s s J n F 1 b 3 Q 7 U 2 V j d G l v b j E v S G F 1 c H R 0 Y W J l b G x l L 0 d l w 6 R u Z G V y d G V y I F R 5 c C 5 7 Z 3 J v d X B f S V 8 y M V 9 s Z W J l b n N 2 X 0 V u d H d p Y 2 t s d W 5 n L 0 d l c 2 N o a W N o d G V f b G V i Z W 5 z d l 9 F c m Z h a H J 1 b m c s M z F 9 J n F 1 b 3 Q 7 L C Z x d W 9 0 O 1 N l Y 3 R p b 2 4 x L 0 h h d X B 0 d G F i Z W x s Z S 9 H Z c O k b m R l c n R l c i B U e X A u e 2 d y b 3 V w X 0 l f M j F f b G V i Z W 5 z d l 9 F b n R 3 a W N r b H V u Z y 9 G b 3 R v X 2 h v Y 2 h s Y W R l b i w z M n 0 m c X V v d D s s J n F 1 b 3 Q 7 U 2 V j d G l v b j E v S G F 1 c H R 0 Y W J l b G x l L 2 F O W H h 3 Q 0 h M e j N H a H J X b V J V N G k 1 a E Z f U 2 h l Z X Q u e 0 N v b H V t b j M 0 L D M z f S Z x d W 9 0 O y w m c X V v d D t T Z W N 0 a W 9 u M S 9 I Y X V w d H R h Y m V s b G U v R 2 X D p G 5 k Z X J 0 Z X I g V H l w L n t J X z M w X 1 Z l c m F l b m R l c n V u Z 1 9 T e X N 0 Z W 0 s M z R 9 J n F 1 b 3 Q 7 L C Z x d W 9 0 O 1 N l Y 3 R p b 2 4 x L 0 h h d X B 0 d G F i Z W x s Z S 9 H Z c O k b m R l c n R l c i B U e X A u e 2 d y b 3 V w X 0 l f N j B f Q m V n d W V u c 3 R p Z 3 R l L 0 J l Z 3 V l b n N 0 a W d 0 Z S w z N X 0 m c X V v d D s s J n F 1 b 3 Q 7 U 2 V j d G l v b j E v S G F 1 c H R 0 Y W J l b G x l L 0 d l w 6 R u Z G V y d G V y I F R 5 c C 5 7 Z 3 J v d X B f S V 8 2 M F 9 C Z W d 1 Z W 5 z d G l n d G U v Q W 5 6 Y W h s X 0 p 1 b m d l b l 9 N Y W V u b m V y X 0 k 2 M C w z N n 0 m c X V v d D s s J n F 1 b 3 Q 7 U 2 V j d G l v b j E v S G F 1 c H R 0 Y W J l b G x l L 0 d l w 6 R u Z G V y d G V y I F R 5 c C 5 7 Z 3 J v d X B f S V 8 2 M F 9 C Z W d 1 Z W 5 z d G l n d G U v Q W 5 6 Y W h s X 0 1 h Z W R j a G V u X 0 Z y Y X V l b l 9 J N j A s M z d 9 J n F 1 b 3 Q 7 L C Z x d W 9 0 O 1 N l Y 3 R p b 2 4 x L 0 h h d X B 0 d G F i Z W x s Z S 9 H Z c O k b m R l c n R l c i B U e X A u e 2 d y b 3 V w X 0 l f N j F f Z 2 V p c 3 R s a W N o X 0 J l Z 3 V l b n N 0 a S 9 J X z Y x X 0 F y d F 9 k Z X J f Q m V n d W V u c 3 R p Z 3 V u Z y w z O H 0 m c X V v d D s s J n F 1 b 3 Q 7 U 2 V j d G l v b j E v S G F 1 c H R 0 Y W J l b G x l L 0 d l w 6 R u Z G V y d G V y I F R 5 c C 5 7 Z 3 J v d X B f S V 8 2 M V 9 n Z W l z d G x p Y 2 h f Q m V n d W V u c 3 R p L 0 F u e m F o b F 9 K d W 5 n Z W 5 f T W F l b m 5 l c l 9 J N j E s M z l 9 J n F 1 b 3 Q 7 L C Z x d W 9 0 O 1 N l Y 3 R p b 2 4 x L 0 h h d X B 0 d G F i Z W x s Z S 9 H Z c O k b m R l c n R l c i B U e X A u e 2 d y b 3 V w X 0 l f N j F f Z 2 V p c 3 R s a W N o X 0 J l Z 3 V l b n N 0 a S 9 B b n p h a G x f T W F l Z G N o Z W 5 f R n J h d W V u X 0 k 2 M S w 0 M H 0 m c X V v d D s s J n F 1 b 3 Q 7 U 2 V j d G l v b j E v S G F 1 c H R 0 Y W J l b G x l L 0 d l w 6 R u Z G V y d G V y I F R 5 c C 5 7 X 1 9 2 Z X J z a W 9 u X 1 8 s N D F 9 J n F 1 b 3 Q 7 L C Z x d W 9 0 O 1 N l Y 3 R p b 2 4 x L 0 h h d X B 0 d G F i Z W x s Z S 9 H Z c O k b m R l c n R l c i B U e X A u e 1 9 2 Z X J z a W 9 u X y w 0 M n 0 m c X V v d D s s J n F 1 b 3 Q 7 U 2 V j d G l v b j E v S G F 1 c H R 0 Y W J l b G x l L 0 d l w 6 R u Z G V y d G V y I F R 5 c C 5 7 X 3 Z l c n N p b 2 5 f X z A w M S w 0 M 3 0 m c X V v d D s s J n F 1 b 3 Q 7 U 2 V j d G l v b j E v S G F 1 c H R 0 Y W J l b G x l L 0 d l w 6 R u Z G V y d G V y I F R 5 c C 5 7 X 3 Z l c n N p b 2 5 f X z A w M i w 0 N H 0 m c X V v d D s s J n F 1 b 3 Q 7 U 2 V j d G l v b j E v S G F 1 c H R 0 Y W J l b G x l L 0 d l w 6 R u Z G V y d G V y I F R 5 c C 5 7 X 3 Z l c n N p b 2 5 f X z A w M y w 0 N X 0 m c X V v d D s s J n F 1 b 3 Q 7 U 2 V j d G l v b j E v S G F 1 c H R 0 Y W J l b G x l L 0 d l w 6 R u Z G V y d G V y I F R 5 c C 5 7 X 3 Z l c n N p b 2 5 f X z A w N C w 0 N n 0 m c X V v d D s s J n F 1 b 3 Q 7 U 2 V j d G l v b j E v S G F 1 c H R 0 Y W J l b G x l L 0 d l w 6 R u Z G V y d G V y I F R 5 c C 5 7 b W V 0 Y S 9 p b n N 0 Y W 5 j Z U l E L D Q 3 f S Z x d W 9 0 O y w m c X V v d D t T Z W N 0 a W 9 u M S 9 I Y X V w d H R h Y m V s b G U v R 2 X D p G 5 k Z X J 0 Z X I g V H l w L n t f a W Q s N D h 9 J n F 1 b 3 Q 7 L C Z x d W 9 0 O 1 N l Y 3 R p b 2 4 x L 0 h h d X B 0 d G F i Z W x s Z S 9 H Z c O k b m R l c n R l c i B U e X A u e 1 9 1 d W l k L D Q 5 f S Z x d W 9 0 O y w m c X V v d D t T Z W N 0 a W 9 u M S 9 I Y X V w d H R h Y m V s b G U v R 2 X D p G 5 k Z X J 0 Z X I g V H l w L n t f c 3 V i b W l z c 2 l v b l 9 0 a W 1 l L D U w f S Z x d W 9 0 O y w m c X V v d D t T Z W N 0 a W 9 u M S 9 I Y X V w d H R h Y m V s b G U v R 2 X D p G 5 k Z X J 0 Z X I g V H l w L n t f a W 5 k Z X g s N T F 9 J n F 1 b 3 Q 7 L C Z x d W 9 0 O 1 N l Y 3 R p b 2 4 x L 0 h h d X B 0 d G F i Z W x s Z S 9 H Z c O k b m R l c n R l c i B U e X A u e 1 9 w Y X J l b n R f d G F i b G V f b m F t Z S w 1 M n 0 m c X V v d D s s J n F 1 b 3 Q 7 U 2 V j d G l v b j E v S G F 1 c H R 0 Y W J l b G x l L 0 d l w 6 R u Z G V y d G V y I F R 5 c C 5 7 X 3 B h c m V u d F 9 p b m R l e C w 1 M 3 0 m c X V v d D s s J n F 1 b 3 Q 7 U 2 V j d G l v b j E v S G F 1 c H R 0 Y W J l b G x l L 0 d l w 6 R u Z G V y d G V y I F R 5 c C 5 7 X 3 R h Z 3 M s N T R 9 J n F 1 b 3 Q 7 L C Z x d W 9 0 O 1 N l Y 3 R p b 2 4 x L 0 h h d X B 0 d G F i Z W x s Z S 9 H Z c O k b m R l c n R l c i B U e X A u e 1 9 u b 3 R l c y w 1 N X 0 m c X V v d D t d L C Z x d W 9 0 O 0 N v b H V t b k N v d W 5 0 J n F 1 b 3 Q 7 O j U 2 L C Z x d W 9 0 O 0 t l e U N v b H V t b k 5 h b W V z J n F 1 b 3 Q 7 O l t d L C Z x d W 9 0 O 0 N v b H V t b k l k Z W 5 0 a X R p Z X M m c X V v d D s 6 W y Z x d W 9 0 O 1 N l Y 3 R p b 2 4 x L 0 h h d X B 0 d G F i Z W x s Z S 9 H Z c O k b m R l c n R l c i B U e X A u e 3 N 0 Y X J 0 L D B 9 J n F 1 b 3 Q 7 L C Z x d W 9 0 O 1 N l Y 3 R p b 2 4 x L 0 h h d X B 0 d G F i Z W x s Z S 9 H Z c O k b m R l c n R l c i B U e X A u e 2 V u Z C w x f S Z x d W 9 0 O y w m c X V v d D t T Z W N 0 a W 9 u M S 9 I Y X V w d H R h Y m V s b G U v R 2 X D p G 5 k Z X J 0 Z X I g V H l w L n t O Y W 1 l L D J 9 J n F 1 b 3 Q 7 L C Z x d W 9 0 O 1 N l Y 3 R p b 2 4 x L 0 h h d X B 0 d G F i Z W x s Z S 9 H Z c O k b m R l c n R l c i B U e X A u e 0 x h b m Q s M 3 0 m c X V v d D s s J n F 1 b 3 Q 7 U 2 V j d G l v b j E v S G F 1 c H R 0 Y W J l b G x l L 0 d l w 6 R u Z G V y d G V y I F R 5 c C 5 7 U H J v a m V r d C w 0 f S Z x d W 9 0 O y w m c X V v d D t T Z W N 0 a W 9 u M S 9 I Y X V w d H R h Y m V s b G U v R 2 X D p G 5 k Z X J 0 Z X I g V H l w L n t U Z W l s c H J v a m V r d C w 1 f S Z x d W 9 0 O y w m c X V v d D t T Z W N 0 a W 9 u M S 9 I Y X V w d H R h Y m V s b G U v R 2 X D p G 5 k Z X J 0 Z X I g V H l w L n t T Y 2 h 3 Z X J w d W 5 r d C w 2 f S Z x d W 9 0 O y w m c X V v d D t T Z W N 0 a W 9 u M S 9 I Y X V w d H R h Y m V s b G U v R 2 X D p G 5 k Z X J 0 Z X I g V H l w L n t X Y W V o b G V f S W 5 k a W t h d G 9 y L D d 9 J n F 1 b 3 Q 7 L C Z x d W 9 0 O 1 N l Y 3 R p b 2 4 x L 0 h h d X B 0 d G F i Z W x s Z S 9 H Z c O k b m R l c n R l c i B U e X A u e 1 d h Z W h s Z V 9 J b m R p a 2 F 0 b 3 I v S V 8 x M G E s O H 0 m c X V v d D s s J n F 1 b 3 Q 7 U 2 V j d G l v b j E v S G F 1 c H R 0 Y W J l b G x l L 0 d l w 6 R u Z G V y d G V y I F R 5 c C 5 7 V 2 F l a G x l X 0 l u Z G l r Y X R v c i 9 J X z E w Y i w 5 f S Z x d W 9 0 O y w m c X V v d D t T Z W N 0 a W 9 u M S 9 I Y X V w d H R h Y m V s b G U v R 2 X D p G 5 k Z X J 0 Z X I g V H l w L n t X Y W V o b G V f S W 5 k a W t h d G 9 y L 0 l f M T B j L D E w f S Z x d W 9 0 O y w m c X V v d D t T Z W N 0 a W 9 u M S 9 I Y X V w d H R h Y m V s b G U v R 2 X D p G 5 k Z X J 0 Z X I g V H l w L n t X Y W V o b G V f S W 5 k a W t h d G 9 y L 0 l f M j A s M T F 9 J n F 1 b 3 Q 7 L C Z x d W 9 0 O 1 N l Y 3 R p b 2 4 x L 0 h h d X B 0 d G F i Z W x s Z S 9 H Z c O k b m R l c n R l c i B U e X A u e 1 d h Z W h s Z V 9 J b m R p a 2 F 0 b 3 I v S V 8 y M S w x M n 0 m c X V v d D s s J n F 1 b 3 Q 7 U 2 V j d G l v b j E v S G F 1 c H R 0 Y W J l b G x l L 0 d l w 6 R u Z G V y d G V y I F R 5 c C 5 7 V 2 F l a G x l X 0 l u Z G l r Y X R v c i 9 J X z M w L D E z f S Z x d W 9 0 O y w m c X V v d D t T Z W N 0 a W 9 u M S 9 I Y X V w d H R h Y m V s b G U v R 2 X D p G 5 k Z X J 0 Z X I g V H l w L n t X Y W V o b G V f S W 5 k a W t h d G 9 y L 0 l f N D A s M T R 9 J n F 1 b 3 Q 7 L C Z x d W 9 0 O 1 N l Y 3 R p b 2 4 x L 0 h h d X B 0 d G F i Z W x s Z S 9 H Z c O k b m R l c n R l c i B U e X A u e 1 d h Z W h s Z V 9 J b m R p a 2 F 0 b 3 I v S V 8 0 M S w x N X 0 m c X V v d D s s J n F 1 b 3 Q 7 U 2 V j d G l v b j E v S G F 1 c H R 0 Y W J l b G x l L 0 d l w 6 R u Z G V y d G V y I F R 5 c C 5 7 V 2 F l a G x l X 0 l u Z G l r Y X R v c i 9 J X z U w L D E 2 f S Z x d W 9 0 O y w m c X V v d D t T Z W N 0 a W 9 u M S 9 I Y X V w d H R h Y m V s b G U v R 2 X D p G 5 k Z X J 0 Z X I g V H l w L n t X Y W V o b G V f S W 5 k a W t h d G 9 y L 0 l f N T E s M T d 9 J n F 1 b 3 Q 7 L C Z x d W 9 0 O 1 N l Y 3 R p b 2 4 x L 0 h h d X B 0 d G F i Z W x s Z S 9 H Z c O k b m R l c n R l c i B U e X A u e 1 d h Z W h s Z V 9 J b m R p a 2 F 0 b 3 I v S V 8 1 M i w x O H 0 m c X V v d D s s J n F 1 b 3 Q 7 U 2 V j d G l v b j E v S G F 1 c H R 0 Y W J l b G x l L 0 d l w 6 R u Z G V y d G V y I F R 5 c C 5 7 V 2 F l a G x l X 0 l u Z G l r Y X R v c i 9 J X z U z L D E 5 f S Z x d W 9 0 O y w m c X V v d D t T Z W N 0 a W 9 u M S 9 I Y X V w d H R h Y m V s b G U v R 2 X D p G 5 k Z X J 0 Z X I g V H l w L n t X Y W V o b G V f S W 5 k a W t h d G 9 y L 0 l f N T Q s M j B 9 J n F 1 b 3 Q 7 L C Z x d W 9 0 O 1 N l Y 3 R p b 2 4 x L 0 h h d X B 0 d G F i Z W x s Z S 9 H Z c O k b m R l c n R l c i B U e X A u e 1 d h Z W h s Z V 9 J b m R p a 2 F 0 b 3 I v S V 8 2 M C w y M X 0 m c X V v d D s s J n F 1 b 3 Q 7 U 2 V j d G l v b j E v S G F 1 c H R 0 Y W J l b G x l L 0 d l w 6 R u Z G V y d G V y I F R 5 c C 5 7 V 2 F l a G x l X 0 l u Z G l r Y X R v c i 9 J X z Y x L D I y f S Z x d W 9 0 O y w m c X V v d D t T Z W N 0 a W 9 u M S 9 I Y X V w d H R h Y m V s b G U v R 2 X D p G 5 k Z X J 0 Z X I g V H l w L n t X Y W V o b G V f S W 5 k a W t h d G 9 y L 0 l f N z A s M j N 9 J n F 1 b 3 Q 7 L C Z x d W 9 0 O 1 N l Y 3 R p b 2 4 x L 0 h h d X B 0 d G F i Z W x s Z S 9 H Z c O k b m R l c n R l c i B U e X A u e 0 l f M T B h X 1 p 1 b m F o b W V f R W l n Z W 5 m a W 5 h b n p p Z X J 1 b i w y N H 0 m c X V v d D s s J n F 1 b 3 Q 7 U 2 V j d G l v b j E v S G F 1 c H R 0 Y W J l b G x l L 0 d l w 6 R u Z G V y d G V y I F R 5 c C 5 7 Z 3 J v d X B f S V 8 x M G J f U G V y c 2 9 u Z W x s Z V 9 B Y m h h Z W 5 n L 0 l f M T B i X 0 F i b m F o b W V f c G V y c 1 9 B Y m h h Z W 5 n a W d r Z S w y N X 0 m c X V v d D s s J n F 1 b 3 Q 7 U 2 V j d G l v b j E v S G F 1 c H R 0 Y W J l b G x l L 0 d l w 6 R u Z G V y d G V y I F R 5 c C 5 7 Z 3 J v d X B f S V 8 x M G J f U G V y c 2 9 u Z W x s Z V 9 B Y m h h Z W 5 n L 1 Z l c m F u d H d v c n R 1 b m d f d W V i Z X J u b 2 1 t Z W 4 s M j Z 9 J n F 1 b 3 Q 7 L C Z x d W 9 0 O 1 N l Y 3 R p b 2 4 x L 0 h h d X B 0 d G F i Z W x s Z S 9 H Z c O k b m R l c n R l c i B U e X A u e 2 d y b 3 V w X 0 l f M j B f V m V y Y W 5 0 d 1 9 1 Z W J l c m 5 v b W 1 l b i 9 B b n p h a G x f S n V u Z 2 V u X 0 1 h Z W 5 u Z X J f S T I w L D I 3 f S Z x d W 9 0 O y w m c X V v d D t T Z W N 0 a W 9 u M S 9 I Y X V w d H R h Y m V s b G U v R 2 X D p G 5 k Z X J 0 Z X I g V H l w L n t n c m 9 1 c F 9 J X z I w X 1 Z l c m F u d H d f d W V i Z X J u b 2 1 t Z W 4 v Q W 5 6 Y W h s X 0 1 h Z W R j a G V u X 0 Z y Y X V l b l 9 J M j A s M j h 9 J n F 1 b 3 Q 7 L C Z x d W 9 0 O 1 N l Y 3 R p b 2 4 x L 0 h h d X B 0 d G F i Z W x s Z S 9 H Z c O k b m R l c n R l c i B U e X A u e 2 d y b 3 V w X 0 l f M j B f V m V y Y W 5 0 d 1 9 1 Z W J l c m 5 v b W 1 l b i 9 W Z X J h Z W 5 k Z X J 1 b m d f Y m V p X 0 J l Z 3 V l b n N 0 a W d 0 Z W 4 s M j l 9 J n F 1 b 3 Q 7 L C Z x d W 9 0 O 1 N l Y 3 R p b 2 4 x L 0 h h d X B 0 d G F i Z W x s Z S 9 H Z c O k b m R l c n R l c i B U e X A u e 2 d y b 3 V w X 0 l f M j B f V m V y Y W 5 0 d 1 9 1 Z W J l c m 5 v b W 1 l b i 9 F c n p h Z W h s Z V 9 H Z X N j a G l j a H R l L D M w f S Z x d W 9 0 O y w m c X V v d D t T Z W N 0 a W 9 u M S 9 I Y X V w d H R h Y m V s b G U v R 2 X D p G 5 k Z X J 0 Z X I g V H l w L n t n c m 9 1 c F 9 J X z I x X 2 x l Y m V u c 3 Z f R W 5 0 d 2 l j a 2 x 1 b m c v R 2 V z Y 2 h p Y 2 h 0 Z V 9 s Z W J l b n N 2 X 0 V y Z m F o c n V u Z y w z M X 0 m c X V v d D s s J n F 1 b 3 Q 7 U 2 V j d G l v b j E v S G F 1 c H R 0 Y W J l b G x l L 0 d l w 6 R u Z G V y d G V y I F R 5 c C 5 7 Z 3 J v d X B f S V 8 y M V 9 s Z W J l b n N 2 X 0 V u d H d p Y 2 t s d W 5 n L 0 Z v d G 9 f a G 9 j a G x h Z G V u L D M y f S Z x d W 9 0 O y w m c X V v d D t T Z W N 0 a W 9 u M S 9 I Y X V w d H R h Y m V s b G U v Y U 5 Y e H d D S E x 6 M 0 d o c l d t U l U 0 a T V o R l 9 T a G V l d C 5 7 Q 2 9 s d W 1 u M z Q s M z N 9 J n F 1 b 3 Q 7 L C Z x d W 9 0 O 1 N l Y 3 R p b 2 4 x L 0 h h d X B 0 d G F i Z W x s Z S 9 H Z c O k b m R l c n R l c i B U e X A u e 0 l f M z B f V m V y Y W V u Z G V y d W 5 n X 1 N 5 c 3 R l b S w z N H 0 m c X V v d D s s J n F 1 b 3 Q 7 U 2 V j d G l v b j E v S G F 1 c H R 0 Y W J l b G x l L 0 d l w 6 R u Z G V y d G V y I F R 5 c C 5 7 Z 3 J v d X B f S V 8 2 M F 9 C Z W d 1 Z W 5 z d G l n d G U v Q m V n d W V u c 3 R p Z 3 R l L D M 1 f S Z x d W 9 0 O y w m c X V v d D t T Z W N 0 a W 9 u M S 9 I Y X V w d H R h Y m V s b G U v R 2 X D p G 5 k Z X J 0 Z X I g V H l w L n t n c m 9 1 c F 9 J X z Y w X 0 J l Z 3 V l b n N 0 a W d 0 Z S 9 B b n p h a G x f S n V u Z 2 V u X 0 1 h Z W 5 u Z X J f S T Y w L D M 2 f S Z x d W 9 0 O y w m c X V v d D t T Z W N 0 a W 9 u M S 9 I Y X V w d H R h Y m V s b G U v R 2 X D p G 5 k Z X J 0 Z X I g V H l w L n t n c m 9 1 c F 9 J X z Y w X 0 J l Z 3 V l b n N 0 a W d 0 Z S 9 B b n p h a G x f T W F l Z G N o Z W 5 f R n J h d W V u X 0 k 2 M C w z N 3 0 m c X V v d D s s J n F 1 b 3 Q 7 U 2 V j d G l v b j E v S G F 1 c H R 0 Y W J l b G x l L 0 d l w 6 R u Z G V y d G V y I F R 5 c C 5 7 Z 3 J v d X B f S V 8 2 M V 9 n Z W l z d G x p Y 2 h f Q m V n d W V u c 3 R p L 0 l f N j F f Q X J 0 X 2 R l c l 9 C Z W d 1 Z W 5 z d G l n d W 5 n L D M 4 f S Z x d W 9 0 O y w m c X V v d D t T Z W N 0 a W 9 u M S 9 I Y X V w d H R h Y m V s b G U v R 2 X D p G 5 k Z X J 0 Z X I g V H l w L n t n c m 9 1 c F 9 J X z Y x X 2 d l a X N 0 b G l j a F 9 C Z W d 1 Z W 5 z d G k v Q W 5 6 Y W h s X 0 p 1 b m d l b l 9 N Y W V u b m V y X 0 k 2 M S w z O X 0 m c X V v d D s s J n F 1 b 3 Q 7 U 2 V j d G l v b j E v S G F 1 c H R 0 Y W J l b G x l L 0 d l w 6 R u Z G V y d G V y I F R 5 c C 5 7 Z 3 J v d X B f S V 8 2 M V 9 n Z W l z d G x p Y 2 h f Q m V n d W V u c 3 R p L 0 F u e m F o b F 9 N Y W V k Y 2 h l b l 9 G c m F 1 Z W 5 f S T Y x L D Q w f S Z x d W 9 0 O y w m c X V v d D t T Z W N 0 a W 9 u M S 9 I Y X V w d H R h Y m V s b G U v R 2 X D p G 5 k Z X J 0 Z X I g V H l w L n t f X 3 Z l c n N p b 2 5 f X y w 0 M X 0 m c X V v d D s s J n F 1 b 3 Q 7 U 2 V j d G l v b j E v S G F 1 c H R 0 Y W J l b G x l L 0 d l w 6 R u Z G V y d G V y I F R 5 c C 5 7 X 3 Z l c n N p b 2 5 f L D Q y f S Z x d W 9 0 O y w m c X V v d D t T Z W N 0 a W 9 u M S 9 I Y X V w d H R h Y m V s b G U v R 2 X D p G 5 k Z X J 0 Z X I g V H l w L n t f d m V y c 2 l v b l 9 f M D A x L D Q z f S Z x d W 9 0 O y w m c X V v d D t T Z W N 0 a W 9 u M S 9 I Y X V w d H R h Y m V s b G U v R 2 X D p G 5 k Z X J 0 Z X I g V H l w L n t f d m V y c 2 l v b l 9 f M D A y L D Q 0 f S Z x d W 9 0 O y w m c X V v d D t T Z W N 0 a W 9 u M S 9 I Y X V w d H R h Y m V s b G U v R 2 X D p G 5 k Z X J 0 Z X I g V H l w L n t f d m V y c 2 l v b l 9 f M D A z L D Q 1 f S Z x d W 9 0 O y w m c X V v d D t T Z W N 0 a W 9 u M S 9 I Y X V w d H R h Y m V s b G U v R 2 X D p G 5 k Z X J 0 Z X I g V H l w L n t f d m V y c 2 l v b l 9 f M D A 0 L D Q 2 f S Z x d W 9 0 O y w m c X V v d D t T Z W N 0 a W 9 u M S 9 I Y X V w d H R h Y m V s b G U v R 2 X D p G 5 k Z X J 0 Z X I g V H l w L n t t Z X R h L 2 l u c 3 R h b m N l S U Q s N D d 9 J n F 1 b 3 Q 7 L C Z x d W 9 0 O 1 N l Y 3 R p b 2 4 x L 0 h h d X B 0 d G F i Z W x s Z S 9 H Z c O k b m R l c n R l c i B U e X A u e 1 9 p Z C w 0 O H 0 m c X V v d D s s J n F 1 b 3 Q 7 U 2 V j d G l v b j E v S G F 1 c H R 0 Y W J l b G x l L 0 d l w 6 R u Z G V y d G V y I F R 5 c C 5 7 X 3 V 1 a W Q s N D l 9 J n F 1 b 3 Q 7 L C Z x d W 9 0 O 1 N l Y 3 R p b 2 4 x L 0 h h d X B 0 d G F i Z W x s Z S 9 H Z c O k b m R l c n R l c i B U e X A u e 1 9 z d W J t a X N z a W 9 u X 3 R p b W U s N T B 9 J n F 1 b 3 Q 7 L C Z x d W 9 0 O 1 N l Y 3 R p b 2 4 x L 0 h h d X B 0 d G F i Z W x s Z S 9 H Z c O k b m R l c n R l c i B U e X A u e 1 9 p b m R l e C w 1 M X 0 m c X V v d D s s J n F 1 b 3 Q 7 U 2 V j d G l v b j E v S G F 1 c H R 0 Y W J l b G x l L 0 d l w 6 R u Z G V y d G V y I F R 5 c C 5 7 X 3 B h c m V u d F 9 0 Y W J s Z V 9 u Y W 1 l L D U y f S Z x d W 9 0 O y w m c X V v d D t T Z W N 0 a W 9 u M S 9 I Y X V w d H R h Y m V s b G U v R 2 X D p G 5 k Z X J 0 Z X I g V H l w L n t f c G F y Z W 5 0 X 2 l u Z G V 4 L D U z f S Z x d W 9 0 O y w m c X V v d D t T Z W N 0 a W 9 u M S 9 I Y X V w d H R h Y m V s b G U v R 2 X D p G 5 k Z X J 0 Z X I g V H l w L n t f d G F n c y w 1 N H 0 m c X V v d D s s J n F 1 b 3 Q 7 U 2 V j d G l v b j E v S G F 1 c H R 0 Y W J l b G x l L 0 d l w 6 R u Z G V y d G V y I F R 5 c C 5 7 X 2 5 v d G V z L D U 1 f S Z x d W 9 0 O 1 0 s J n F 1 b 3 Q 7 U m V s Y X R p b 2 5 z a G l w S W 5 m b y Z x d W 9 0 O z p b X X 0 i I C 8 + P E V u d H J 5 I F R 5 c G U 9 I k F k Z G V k V G 9 E Y X R h T W 9 k Z W w i I F Z h b H V l P S J s M C I g L z 4 8 L 1 N 0 Y W J s Z U V u d H J p Z X M + P C 9 J d G V t P j x J d G V t P j x J d G V t T G 9 j Y X R p b 2 4 + P E l 0 Z W 1 U e X B l P k Z v c m 1 1 b G E 8 L 0 l 0 Z W 1 U e X B l P j x J d G V t U G F 0 a D 5 T Z W N 0 a W 9 u M S 9 I Y X V w d H R h Y m V s b G U v U X V l b G x l P C 9 J d G V t U G F 0 a D 4 8 L 0 l 0 Z W 1 M b 2 N h d G l v b j 4 8 U 3 R h Y m x l R W 5 0 c m l l c y A v P j w v S X R l b T 4 8 S X R l b T 4 8 S X R l b U x v Y 2 F 0 a W 9 u P j x J d G V t V H l w Z T 5 G b 3 J t d W x h P C 9 J d G V t V H l w Z T 4 8 S X R l b V B h d G g + U 2 V j d G l v b j E v S G F 1 c H R 0 Y W J l b G x l L 2 F O W H h 3 Q 0 h M e j N H a H J X b V J V N G k 1 a E Z f U 2 h l Z X Q 8 L 0 l 0 Z W 1 Q Y X R o P j w v S X R l b U x v Y 2 F 0 a W 9 u P j x T d G F i b G V F b n R y a W V z I C 8 + P C 9 J d G V t P j x J d G V t P j x J d G V t T G 9 j Y X R p b 2 4 + P E l 0 Z W 1 U e X B l P k Z v c m 1 1 b G E 8 L 0 l 0 Z W 1 U e X B l P j x J d G V t U G F 0 a D 5 T Z W N 0 a W 9 u M S 9 I Y X V w d H R h Y m V s b G U v S C V D M y V C N m h l c i U y M G d l c 3 R 1 Z n R l J T I w S G V h Z G V y P C 9 J d G V t U G F 0 a D 4 8 L 0 l 0 Z W 1 M b 2 N h d G l v b j 4 8 U 3 R h Y m x l R W 5 0 c m l l c y A v P j w v S X R l b T 4 8 S X R l b T 4 8 S X R l b U x v Y 2 F 0 a W 9 u P j x J d G V t V H l w Z T 5 G b 3 J t d W x h P C 9 J d G V t V H l w Z T 4 8 S X R l b V B h d G g + U 2 V j d G l v b j E v S G F 1 c H R 0 Y W J l b G x l L 0 d l J U M z J U E 0 b m R l c n R l c i U y M F R 5 c D w v S X R l b V B h d G g + P C 9 J d G V t T G 9 j Y X R p b 2 4 + P F N 0 Y W J s Z U V u d H J p Z X M g L z 4 8 L 0 l 0 Z W 0 + P C 9 J d G V t c z 4 8 L 0 x v Y 2 F s U G F j a 2 F n Z U 1 l d G F k Y X R h R m l s Z T 4 W A A A A U E s F B g A A A A A A A A A A A A A A A A A A A A A A A N o A A A A B A A A A 0 I y d 3 w E V 0 R G M e g D A T 8 K X 6 w E A A A C V h m H l Q C J v S I H 1 3 K R X q h m 1 A A A A A A I A A A A A A A N m A A D A A A A A E A A A A L / C K X Y g X q z G k m K o G c y l k x c A A A A A B I A A A K A A A A A Q A A A A R L c x i m x g m U k P y V 0 w Q A H t + l A A A A D O N z A 1 z V q 6 y J 4 Y o M t s j 7 u x V 0 S j + q / W Q / t l T / o r y Q 4 E 9 5 / Z W + 3 U 1 Y n 8 d K 5 4 B 9 o E b N a G l K M H O a t 2 V y W Q i 7 c m q w 1 6 q i 6 t i t V 1 0 J w m S M C V 9 M G R 2 B Q A A A B x m k + A B s 9 Q f O S D 1 u / M 5 1 F d Z I S X / w = = < / D a t a M a s h u p > 
</file>

<file path=customXml/itemProps1.xml><?xml version="1.0" encoding="utf-8"?>
<ds:datastoreItem xmlns:ds="http://schemas.openxmlformats.org/officeDocument/2006/customXml" ds:itemID="{C11EA0C4-79B2-44F6-8E03-D7502EADDEF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17</vt:i4>
      </vt:variant>
    </vt:vector>
  </HeadingPairs>
  <TitlesOfParts>
    <vt:vector size="17" baseType="lpstr">
      <vt:lpstr>Education</vt:lpstr>
      <vt:lpstr>Medical</vt:lpstr>
      <vt:lpstr>Lifelihood</vt:lpstr>
      <vt:lpstr>Theology</vt:lpstr>
      <vt:lpstr>Stories</vt:lpstr>
      <vt:lpstr>Main</vt:lpstr>
      <vt:lpstr>I_10c</vt:lpstr>
      <vt:lpstr>I_40</vt:lpstr>
      <vt:lpstr>I_41</vt:lpstr>
      <vt:lpstr>I_50</vt:lpstr>
      <vt:lpstr>I_51</vt:lpstr>
      <vt:lpstr>I_52</vt:lpstr>
      <vt:lpstr>I_53</vt:lpstr>
      <vt:lpstr>I_54</vt:lpstr>
      <vt:lpstr>I_70</vt:lpstr>
      <vt:lpstr>Link</vt:lpstr>
      <vt:lpstr>Pivot</vt:lpstr>
    </vt:vector>
  </TitlesOfParts>
  <Company>SAM global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 Zurbrügg</dc:creator>
  <cp:lastModifiedBy>Andreas Zurbrügg</cp:lastModifiedBy>
  <dcterms:created xsi:type="dcterms:W3CDTF">2021-04-28T15:11:42Z</dcterms:created>
  <dcterms:modified xsi:type="dcterms:W3CDTF">2021-05-03T09:48:45Z</dcterms:modified>
</cp:coreProperties>
</file>